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Bookkeeper\2022\Budget\"/>
    </mc:Choice>
  </mc:AlternateContent>
  <xr:revisionPtr revIDLastSave="0" documentId="13_ncr:1_{6BF19D9C-9C74-45B5-92B4-10F901366919}" xr6:coauthVersionLast="47" xr6:coauthVersionMax="47" xr10:uidLastSave="{00000000-0000-0000-0000-000000000000}"/>
  <bookViews>
    <workbookView xWindow="-120" yWindow="-120" windowWidth="29040" windowHeight="15840" tabRatio="730" activeTab="4" xr2:uid="{00000000-000D-0000-FFFF-FFFF00000000}"/>
  </bookViews>
  <sheets>
    <sheet name="Salary Increase calc" sheetId="10" r:id="rId1"/>
    <sheet name="FINAL SALARIES" sheetId="1" r:id="rId2"/>
    <sheet name="INDEBTEDNESS" sheetId="2" r:id="rId3"/>
    <sheet name="TENTATIVE SUMMARY BUDGET" sheetId="3" r:id="rId4"/>
    <sheet name="FINAL BUDGET COVER SHEET" sheetId="7" r:id="rId5"/>
    <sheet name="TAX RATES" sheetId="5" r:id="rId6"/>
    <sheet name="TAX RATE EXAMPLES" sheetId="8" r:id="rId7"/>
    <sheet name="TAX RATE CALCULATOR" sheetId="9" r:id="rId8"/>
  </sheets>
  <definedNames>
    <definedName name="_xlnm.Print_Area" localSheetId="4">'FINAL BUDGET COVER SHEET'!$A$1:$E$33</definedName>
    <definedName name="_xlnm.Print_Area" localSheetId="1">'FINAL SALARIES'!$A$1:$G$54</definedName>
    <definedName name="_xlnm.Print_Area" localSheetId="0">'Salary Increase calc'!$A$1:$L$56</definedName>
    <definedName name="_xlnm.Print_Area" localSheetId="7">'TAX RATE CALCULATOR'!$A$1:$B$33</definedName>
    <definedName name="_xlnm.Print_Area" localSheetId="3">'TENTATIVE SUMMARY BUDGET'!$A$1:$E$35</definedName>
    <definedName name="_xlnm.Print_Titles" localSheetId="0">'Salary Increase calc'!$A:$E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8" i="5"/>
  <c r="E7" i="5"/>
  <c r="K49" i="10"/>
  <c r="E7" i="8" l="1"/>
  <c r="E8" i="3"/>
  <c r="E7" i="3"/>
  <c r="E4" i="3"/>
  <c r="F5" i="3" s="1"/>
  <c r="K46" i="10"/>
  <c r="K17" i="10" l="1"/>
  <c r="J17" i="10" s="1"/>
  <c r="K50" i="10"/>
  <c r="K47" i="10"/>
  <c r="K45" i="10"/>
  <c r="G33" i="9"/>
  <c r="G28" i="9"/>
  <c r="G10" i="9"/>
  <c r="G12" i="9" s="1"/>
  <c r="G13" i="9" s="1"/>
  <c r="G6" i="9"/>
  <c r="G15" i="9" l="1"/>
  <c r="G18" i="9"/>
  <c r="G21" i="9" s="1"/>
  <c r="G23" i="9" s="1"/>
  <c r="K24" i="10" l="1"/>
  <c r="K19" i="10"/>
  <c r="K15" i="10"/>
  <c r="B11" i="3"/>
  <c r="C11" i="3"/>
  <c r="D11" i="3"/>
  <c r="K18" i="10"/>
  <c r="I18" i="10"/>
  <c r="G18" i="10"/>
  <c r="I17" i="10"/>
  <c r="G17" i="10"/>
  <c r="E39" i="10"/>
  <c r="F39" i="10"/>
  <c r="H39" i="10" s="1"/>
  <c r="K25" i="10"/>
  <c r="J25" i="10" s="1"/>
  <c r="I25" i="10"/>
  <c r="H25" i="10" s="1"/>
  <c r="G25" i="10"/>
  <c r="F25" i="10" s="1"/>
  <c r="J37" i="10"/>
  <c r="K22" i="10"/>
  <c r="I22" i="10"/>
  <c r="G22" i="10"/>
  <c r="I39" i="10" l="1"/>
  <c r="G39" i="10"/>
  <c r="G54" i="1"/>
  <c r="G52" i="1"/>
  <c r="E39" i="1"/>
  <c r="E31" i="1"/>
  <c r="M25" i="10" l="1"/>
  <c r="E21" i="5" l="1"/>
  <c r="J18" i="10" l="1"/>
  <c r="H18" i="10"/>
  <c r="E53" i="10" l="1"/>
  <c r="E56" i="10"/>
  <c r="J28" i="10" l="1"/>
  <c r="H28" i="10"/>
  <c r="F28" i="10"/>
  <c r="G46" i="10"/>
  <c r="G50" i="10"/>
  <c r="F50" i="10" s="1"/>
  <c r="G52" i="10"/>
  <c r="F52" i="10" s="1"/>
  <c r="G47" i="10"/>
  <c r="F47" i="10" s="1"/>
  <c r="G48" i="10"/>
  <c r="F48" i="10" s="1"/>
  <c r="G51" i="10"/>
  <c r="F51" i="10" s="1"/>
  <c r="G49" i="10"/>
  <c r="F49" i="10" s="1"/>
  <c r="G45" i="10"/>
  <c r="F45" i="10" s="1"/>
  <c r="G31" i="10"/>
  <c r="G30" i="10"/>
  <c r="F30" i="10" s="1"/>
  <c r="G29" i="10"/>
  <c r="F29" i="10" s="1"/>
  <c r="G36" i="10"/>
  <c r="G35" i="10"/>
  <c r="G28" i="10"/>
  <c r="G38" i="10"/>
  <c r="F38" i="10" s="1"/>
  <c r="G37" i="10"/>
  <c r="F37" i="10" s="1"/>
  <c r="G23" i="10"/>
  <c r="F17" i="10"/>
  <c r="G16" i="10"/>
  <c r="F16" i="10" s="1"/>
  <c r="G13" i="10"/>
  <c r="F13" i="10" s="1"/>
  <c r="G26" i="10"/>
  <c r="F26" i="10" s="1"/>
  <c r="G15" i="10"/>
  <c r="F15" i="10" s="1"/>
  <c r="G20" i="10"/>
  <c r="F20" i="10" s="1"/>
  <c r="G12" i="10"/>
  <c r="G11" i="10"/>
  <c r="G24" i="10"/>
  <c r="G19" i="10"/>
  <c r="G8" i="10"/>
  <c r="G7" i="10"/>
  <c r="G9" i="10"/>
  <c r="G10" i="10"/>
  <c r="G14" i="10"/>
  <c r="F46" i="10" l="1"/>
  <c r="G53" i="10"/>
  <c r="F53" i="10" s="1"/>
  <c r="G40" i="10"/>
  <c r="G32" i="10"/>
  <c r="G56" i="10" l="1"/>
  <c r="G58" i="10" s="1"/>
  <c r="M43" i="10"/>
  <c r="M42" i="10"/>
  <c r="M21" i="10"/>
  <c r="M50" i="10"/>
  <c r="K52" i="10"/>
  <c r="M52" i="10" s="1"/>
  <c r="M47" i="10"/>
  <c r="K48" i="10"/>
  <c r="K51" i="10"/>
  <c r="M51" i="10" s="1"/>
  <c r="M49" i="10"/>
  <c r="K31" i="10"/>
  <c r="M31" i="10" s="1"/>
  <c r="K30" i="10"/>
  <c r="M30" i="10" s="1"/>
  <c r="K29" i="10"/>
  <c r="M29" i="10" s="1"/>
  <c r="M22" i="10"/>
  <c r="K36" i="10"/>
  <c r="M36" i="10" s="1"/>
  <c r="M35" i="10"/>
  <c r="K28" i="10"/>
  <c r="M28" i="10" s="1"/>
  <c r="M18" i="10"/>
  <c r="M37" i="10"/>
  <c r="K23" i="10"/>
  <c r="M23" i="10" s="1"/>
  <c r="M39" i="10"/>
  <c r="M17" i="10"/>
  <c r="K16" i="10"/>
  <c r="M16" i="10" s="1"/>
  <c r="M13" i="10"/>
  <c r="I46" i="10"/>
  <c r="I50" i="10"/>
  <c r="H50" i="10" s="1"/>
  <c r="I52" i="10"/>
  <c r="H52" i="10" s="1"/>
  <c r="I47" i="10"/>
  <c r="H47" i="10" s="1"/>
  <c r="I48" i="10"/>
  <c r="H48" i="10" s="1"/>
  <c r="I51" i="10"/>
  <c r="H51" i="10" s="1"/>
  <c r="I49" i="10"/>
  <c r="H49" i="10" s="1"/>
  <c r="I45" i="10"/>
  <c r="H45" i="10" s="1"/>
  <c r="I31" i="10"/>
  <c r="I30" i="10"/>
  <c r="H30" i="10" s="1"/>
  <c r="I29" i="10"/>
  <c r="H29" i="10" s="1"/>
  <c r="I36" i="10"/>
  <c r="I35" i="10"/>
  <c r="I28" i="10"/>
  <c r="I38" i="10"/>
  <c r="H38" i="10" s="1"/>
  <c r="I37" i="10"/>
  <c r="H37" i="10" s="1"/>
  <c r="I23" i="10"/>
  <c r="H17" i="10"/>
  <c r="I16" i="10"/>
  <c r="H16" i="10" s="1"/>
  <c r="K20" i="10"/>
  <c r="J20" i="10" s="1"/>
  <c r="M48" i="10" l="1"/>
  <c r="K53" i="10"/>
  <c r="M45" i="10"/>
  <c r="H46" i="10"/>
  <c r="I53" i="10"/>
  <c r="M46" i="10"/>
  <c r="I40" i="10"/>
  <c r="M38" i="10"/>
  <c r="K40" i="10"/>
  <c r="M40" i="10" s="1"/>
  <c r="J48" i="10"/>
  <c r="J51" i="10"/>
  <c r="J45" i="10"/>
  <c r="J52" i="10"/>
  <c r="J46" i="10"/>
  <c r="J50" i="10"/>
  <c r="J49" i="10"/>
  <c r="J16" i="10"/>
  <c r="J29" i="10"/>
  <c r="J47" i="10"/>
  <c r="J30" i="10"/>
  <c r="I15" i="10"/>
  <c r="H15" i="10" s="1"/>
  <c r="M20" i="10"/>
  <c r="I20" i="10"/>
  <c r="H20" i="10" s="1"/>
  <c r="I12" i="10"/>
  <c r="K11" i="10"/>
  <c r="M11" i="10" s="1"/>
  <c r="M24" i="10"/>
  <c r="I24" i="10"/>
  <c r="M19" i="10"/>
  <c r="K8" i="10"/>
  <c r="M8" i="10" s="1"/>
  <c r="K7" i="10"/>
  <c r="K9" i="10"/>
  <c r="M9" i="10" s="1"/>
  <c r="K10" i="10"/>
  <c r="M10" i="10" s="1"/>
  <c r="K14" i="10"/>
  <c r="M14" i="10" s="1"/>
  <c r="M7" i="10" l="1"/>
  <c r="M27" i="10"/>
  <c r="M15" i="10"/>
  <c r="J15" i="10"/>
  <c r="M26" i="10"/>
  <c r="J26" i="10"/>
  <c r="I8" i="10"/>
  <c r="I11" i="10"/>
  <c r="I19" i="10"/>
  <c r="K12" i="10"/>
  <c r="M12" i="10" s="1"/>
  <c r="I10" i="10"/>
  <c r="I7" i="10"/>
  <c r="I9" i="10"/>
  <c r="I26" i="10"/>
  <c r="I14" i="10"/>
  <c r="I32" i="10" l="1"/>
  <c r="I56" i="10" s="1"/>
  <c r="I58" i="10" s="1"/>
  <c r="K32" i="10"/>
  <c r="M53" i="10" s="1"/>
  <c r="H26" i="10"/>
  <c r="E25" i="7"/>
  <c r="E24" i="7"/>
  <c r="F24" i="7" s="1"/>
  <c r="E23" i="7"/>
  <c r="F23" i="7" s="1"/>
  <c r="D22" i="7"/>
  <c r="C22" i="7"/>
  <c r="D21" i="7"/>
  <c r="C21" i="7"/>
  <c r="B21" i="7"/>
  <c r="K56" i="10" l="1"/>
  <c r="M56" i="10" s="1"/>
  <c r="M32" i="10"/>
  <c r="E21" i="7"/>
  <c r="K58" i="10" l="1"/>
  <c r="B33" i="3"/>
  <c r="B22" i="7" l="1"/>
  <c r="E22" i="7" s="1"/>
  <c r="D19" i="7"/>
  <c r="C19" i="7"/>
  <c r="B19" i="7" l="1"/>
  <c r="E19" i="7" s="1"/>
  <c r="B33" i="9"/>
  <c r="B28" i="9"/>
  <c r="B10" i="9"/>
  <c r="B12" i="9" s="1"/>
  <c r="B6" i="9"/>
  <c r="E15" i="5" l="1"/>
  <c r="C6" i="9"/>
  <c r="E27" i="3"/>
  <c r="E7" i="7"/>
  <c r="E8" i="7"/>
  <c r="B13" i="9"/>
  <c r="B15" i="9" s="1"/>
  <c r="E19" i="5"/>
  <c r="E26" i="3"/>
  <c r="B30" i="8"/>
  <c r="M13" i="8" s="1"/>
  <c r="B31" i="8"/>
  <c r="F14" i="8" s="1"/>
  <c r="E6" i="7" l="1"/>
  <c r="E6" i="5"/>
  <c r="F22" i="8"/>
  <c r="F21" i="8"/>
  <c r="M6" i="8"/>
  <c r="M21" i="8"/>
  <c r="F6" i="8"/>
  <c r="M14" i="8"/>
  <c r="F13" i="8"/>
  <c r="B29" i="8"/>
  <c r="E24" i="3"/>
  <c r="B18" i="9"/>
  <c r="B21" i="9" s="1"/>
  <c r="B23" i="9" s="1"/>
  <c r="E5" i="5" s="1"/>
  <c r="E24" i="5"/>
  <c r="E23" i="5"/>
  <c r="E5" i="7" l="1"/>
  <c r="E22" i="5"/>
  <c r="M20" i="8"/>
  <c r="M5" i="8"/>
  <c r="F5" i="8"/>
  <c r="E25" i="3"/>
  <c r="B28" i="8"/>
  <c r="M12" i="8" l="1"/>
  <c r="F12" i="8"/>
  <c r="F20" i="8"/>
  <c r="M22" i="8" l="1"/>
  <c r="M23" i="8" s="1"/>
  <c r="M7" i="8"/>
  <c r="M8" i="8" s="1"/>
  <c r="M15" i="8" l="1"/>
  <c r="M16" i="8" s="1"/>
  <c r="E26" i="5"/>
  <c r="E11" i="3"/>
  <c r="B32" i="3" l="1"/>
  <c r="B34" i="3" s="1"/>
  <c r="B35" i="3" s="1"/>
  <c r="A27" i="3"/>
  <c r="B27" i="3" s="1"/>
  <c r="E26" i="7"/>
  <c r="A31" i="7" s="1"/>
  <c r="D26" i="7"/>
  <c r="C26" i="7"/>
  <c r="B26" i="7"/>
  <c r="F4" i="3" l="1"/>
  <c r="F7" i="3" l="1"/>
  <c r="F6" i="3"/>
  <c r="F22" i="7" l="1"/>
  <c r="F21" i="7"/>
  <c r="F19" i="7"/>
  <c r="F23" i="8"/>
  <c r="F24" i="8" s="1"/>
  <c r="F15" i="8"/>
  <c r="F16" i="8" s="1"/>
  <c r="F7" i="8" l="1"/>
  <c r="F8" i="8" s="1"/>
  <c r="F9" i="3" l="1"/>
  <c r="F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Lois Petrone</author>
  </authors>
  <commentList>
    <comment ref="E18" authorId="0" shapeId="0" xr:uid="{3CDED97D-351D-49FD-BDD3-CEDE40CD33AD}">
      <text>
        <r>
          <rPr>
            <b/>
            <sz val="9"/>
            <color indexed="81"/>
            <rFont val="Tahoma"/>
            <family val="2"/>
          </rPr>
          <t>Lois Petrone:</t>
        </r>
        <r>
          <rPr>
            <sz val="9"/>
            <color indexed="81"/>
            <rFont val="Tahoma"/>
            <family val="2"/>
          </rPr>
          <t xml:space="preserve">
@ 40hrs per pay period</t>
        </r>
      </text>
    </comment>
    <comment ref="E21" authorId="0" shapeId="0" xr:uid="{E6CC826C-ABAD-411B-AD29-F754F6805BE2}">
      <text>
        <r>
          <rPr>
            <b/>
            <sz val="9"/>
            <color indexed="81"/>
            <rFont val="Tahoma"/>
            <family val="2"/>
          </rPr>
          <t>Lois Petrone:</t>
        </r>
        <r>
          <rPr>
            <sz val="9"/>
            <color indexed="81"/>
            <rFont val="Tahoma"/>
            <family val="2"/>
          </rPr>
          <t xml:space="preserve">
Minimum Wage</t>
        </r>
      </text>
    </comment>
    <comment ref="I21" authorId="0" shapeId="0" xr:uid="{993234C6-20C2-48EF-B4F3-F1CE973E593A}">
      <text>
        <r>
          <rPr>
            <b/>
            <sz val="9"/>
            <color indexed="81"/>
            <rFont val="Tahoma"/>
            <family val="2"/>
          </rPr>
          <t>Lois Petrone:</t>
        </r>
        <r>
          <rPr>
            <sz val="9"/>
            <color indexed="81"/>
            <rFont val="Tahoma"/>
            <family val="2"/>
          </rPr>
          <t xml:space="preserve">
Minimum Wage
</t>
        </r>
      </text>
    </comment>
    <comment ref="K21" authorId="0" shapeId="0" xr:uid="{9A35EB32-9E51-465C-8DB4-7C3EEED2549D}">
      <text>
        <r>
          <rPr>
            <b/>
            <sz val="9"/>
            <color indexed="81"/>
            <rFont val="Tahoma"/>
            <family val="2"/>
          </rPr>
          <t>Lois Petrone:</t>
        </r>
        <r>
          <rPr>
            <sz val="9"/>
            <color indexed="81"/>
            <rFont val="Tahoma"/>
            <family val="2"/>
          </rPr>
          <t xml:space="preserve">
Minimum Wage
</t>
        </r>
      </text>
    </comment>
    <comment ref="I28" authorId="0" shapeId="0" xr:uid="{5A5FF8F0-1291-498A-9322-55F9C11B97E1}">
      <text>
        <r>
          <rPr>
            <b/>
            <sz val="9"/>
            <color indexed="81"/>
            <rFont val="Tahoma"/>
            <family val="2"/>
          </rPr>
          <t>Lois Petrone:</t>
        </r>
        <r>
          <rPr>
            <sz val="9"/>
            <color indexed="81"/>
            <rFont val="Tahoma"/>
            <family val="2"/>
          </rPr>
          <t xml:space="preserve">
at CAP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Lois Petrone</author>
  </authors>
  <commentList>
    <comment ref="E21" authorId="0" shapeId="0" xr:uid="{69F4002A-54D1-4EED-9AA3-BBEB94A1E0DC}">
      <text>
        <r>
          <rPr>
            <b/>
            <sz val="9"/>
            <color indexed="81"/>
            <rFont val="Tahoma"/>
            <family val="2"/>
          </rPr>
          <t>Lois Petrone:</t>
        </r>
        <r>
          <rPr>
            <sz val="9"/>
            <color indexed="81"/>
            <rFont val="Tahoma"/>
            <family val="2"/>
          </rPr>
          <t xml:space="preserve">
Minimum Wage
</t>
        </r>
      </text>
    </comment>
    <comment ref="G21" authorId="0" shapeId="0" xr:uid="{C20519DD-A5E7-49FB-8123-FCEB362F5B85}">
      <text>
        <r>
          <rPr>
            <b/>
            <sz val="9"/>
            <color indexed="81"/>
            <rFont val="Tahoma"/>
            <family val="2"/>
          </rPr>
          <t>Lois Petrone:</t>
        </r>
        <r>
          <rPr>
            <sz val="9"/>
            <color indexed="81"/>
            <rFont val="Tahoma"/>
            <family val="2"/>
          </rPr>
          <t xml:space="preserve">
Minimum Wage
</t>
        </r>
      </text>
    </comment>
  </commentList>
</comments>
</file>

<file path=xl/sharedStrings.xml><?xml version="1.0" encoding="utf-8"?>
<sst xmlns="http://schemas.openxmlformats.org/spreadsheetml/2006/main" count="463" uniqueCount="219">
  <si>
    <t>OFFICER</t>
  </si>
  <si>
    <t>Gary E. Ciferri</t>
  </si>
  <si>
    <t>Stephen Turletes</t>
  </si>
  <si>
    <t>Mike Murphy</t>
  </si>
  <si>
    <t>Mary Alex</t>
  </si>
  <si>
    <t>Joseph Spagnola</t>
  </si>
  <si>
    <t>Elizabeth Shequine</t>
  </si>
  <si>
    <t>Jeff Feigelson</t>
  </si>
  <si>
    <t>Chelsea Edson</t>
  </si>
  <si>
    <t>Anthony De Bonis</t>
  </si>
  <si>
    <t>Louis Spagnola</t>
  </si>
  <si>
    <t>Louis Spagnola, III</t>
  </si>
  <si>
    <t>James Brownell</t>
  </si>
  <si>
    <t>Joseph Magnarella</t>
  </si>
  <si>
    <t>HIGHWAY DEPARTMENT</t>
  </si>
  <si>
    <t>Charles Erts</t>
  </si>
  <si>
    <t>Thomas Coy</t>
  </si>
  <si>
    <t>Joseph Erts</t>
  </si>
  <si>
    <t>Wayne Gruntler</t>
  </si>
  <si>
    <t>John Hay</t>
  </si>
  <si>
    <t>Michael Llanes</t>
  </si>
  <si>
    <t>POSITION</t>
  </si>
  <si>
    <t>Supervisor</t>
  </si>
  <si>
    <t>Deputy Supervisor</t>
  </si>
  <si>
    <t>Councilmen</t>
  </si>
  <si>
    <t>Town clerk</t>
  </si>
  <si>
    <t>Justice</t>
  </si>
  <si>
    <t>Deputy Town Clerk</t>
  </si>
  <si>
    <t>Bookkeeper</t>
  </si>
  <si>
    <t>Recreation Director</t>
  </si>
  <si>
    <t>Recreation Assistant</t>
  </si>
  <si>
    <t>Assessor</t>
  </si>
  <si>
    <t>Assessor's Aide</t>
  </si>
  <si>
    <t>Dog Control Officer</t>
  </si>
  <si>
    <t>Court Clerk</t>
  </si>
  <si>
    <t>Groundskeeper</t>
  </si>
  <si>
    <t>Constable</t>
  </si>
  <si>
    <t>PT constable</t>
  </si>
  <si>
    <t>MEO</t>
  </si>
  <si>
    <t>Auto Mechanic</t>
  </si>
  <si>
    <t>H/MEO</t>
  </si>
  <si>
    <t>Schedule of Salaries</t>
  </si>
  <si>
    <t>FUND</t>
  </si>
  <si>
    <t>GENERAL A</t>
  </si>
  <si>
    <t>LIBRARY A</t>
  </si>
  <si>
    <t>GENERAL B</t>
  </si>
  <si>
    <t>HIGHWAY DB</t>
  </si>
  <si>
    <t>FIRE DISTRICT SF</t>
  </si>
  <si>
    <t>TOTALS</t>
  </si>
  <si>
    <t>APPROPRIATIONS</t>
  </si>
  <si>
    <t>REVENUE</t>
  </si>
  <si>
    <t>FUND BALANCE</t>
  </si>
  <si>
    <t>TAX LEVY</t>
  </si>
  <si>
    <t>TAX RATES</t>
  </si>
  <si>
    <t>TOWN</t>
  </si>
  <si>
    <t>VILLAGE</t>
  </si>
  <si>
    <t>LIBRARY</t>
  </si>
  <si>
    <t>FIRE</t>
  </si>
  <si>
    <t>ASSESSMENTS</t>
  </si>
  <si>
    <t>TOWN WIDE</t>
  </si>
  <si>
    <t xml:space="preserve">FIRE </t>
  </si>
  <si>
    <t>MULTIPLIER</t>
  </si>
  <si>
    <t>Robert Audia</t>
  </si>
  <si>
    <t>DA Fund</t>
  </si>
  <si>
    <t>Town Outside</t>
  </si>
  <si>
    <t>Library</t>
  </si>
  <si>
    <t xml:space="preserve"> </t>
  </si>
  <si>
    <t>Earl Smith</t>
  </si>
  <si>
    <t>Cleaner</t>
  </si>
  <si>
    <t>TAX CAP ALLOWABLE LEVY AMOUNT</t>
  </si>
  <si>
    <t>ACTUAL TAX LEVY</t>
  </si>
  <si>
    <t>Example</t>
  </si>
  <si>
    <t>Village Home</t>
  </si>
  <si>
    <t>Assessed Value</t>
  </si>
  <si>
    <t>County</t>
  </si>
  <si>
    <t>Town Inside Village</t>
  </si>
  <si>
    <t>Fire</t>
  </si>
  <si>
    <t>Town Home</t>
  </si>
  <si>
    <t>FINAL BUDGET</t>
  </si>
  <si>
    <t>Jason Murphy</t>
  </si>
  <si>
    <t>Secretary PB/ZBA</t>
  </si>
  <si>
    <t>Elected/Appointed Officials</t>
  </si>
  <si>
    <t>Highway Super</t>
  </si>
  <si>
    <t>Solid Waste Attdt</t>
  </si>
  <si>
    <t>Mindy Moore</t>
  </si>
  <si>
    <t>Kevin Granger</t>
  </si>
  <si>
    <t>print current bond schedule</t>
  </si>
  <si>
    <t>Records Mgmt Clerk</t>
  </si>
  <si>
    <t>DA Fund ****</t>
  </si>
  <si>
    <t>Chrissy Briggs</t>
  </si>
  <si>
    <t>x.18</t>
  </si>
  <si>
    <t>TOWN OUTSIDE</t>
  </si>
  <si>
    <t>A FUND</t>
  </si>
  <si>
    <t>B FUND</t>
  </si>
  <si>
    <t>DB FUND</t>
  </si>
  <si>
    <t>DA FUND</t>
  </si>
  <si>
    <t>TAX CAP ALLOWABLE LEVY</t>
  </si>
  <si>
    <t>APPROPRIATIONS/FUND BALANCE WORKSHEET</t>
  </si>
  <si>
    <t>PLANNING BOARD ESCROW</t>
  </si>
  <si>
    <t>PLANNING BOARD</t>
  </si>
  <si>
    <t>Difference</t>
  </si>
  <si>
    <t>.x.18</t>
  </si>
  <si>
    <t>2% Increase</t>
  </si>
  <si>
    <t>3% Increase</t>
  </si>
  <si>
    <t>Lois Petrone</t>
  </si>
  <si>
    <t>Saftey Inspector Secy</t>
  </si>
  <si>
    <t>Ricky Butts</t>
  </si>
  <si>
    <t>Casey Murphy</t>
  </si>
  <si>
    <t>To determine multiplier</t>
  </si>
  <si>
    <t>Village Assessment Rate</t>
  </si>
  <si>
    <t>Town Wide Assessment Rate</t>
  </si>
  <si>
    <t>Village Tax Rate</t>
  </si>
  <si>
    <t>A-Fund Tax</t>
  </si>
  <si>
    <t>Less the Library tax</t>
  </si>
  <si>
    <t>Subtotal</t>
  </si>
  <si>
    <t>Plus the DA Tax</t>
  </si>
  <si>
    <t xml:space="preserve"> Village amount x multiplier</t>
  </si>
  <si>
    <t>Village Assessed Value-leave off last 3 digits</t>
  </si>
  <si>
    <t>Total Village Tax Rate</t>
  </si>
  <si>
    <t>Town Outside Tax Rate</t>
  </si>
  <si>
    <t>Plus B Fund</t>
  </si>
  <si>
    <t>Plus DB Fund</t>
  </si>
  <si>
    <t>Town Outside Assessment-leave off last 3 digits</t>
  </si>
  <si>
    <t>Total Town Outside Tax Rage</t>
  </si>
  <si>
    <t>Fire Tax Rate</t>
  </si>
  <si>
    <t>Fire SF</t>
  </si>
  <si>
    <t>Fire Assessed Value - leave off last 3 zeros</t>
  </si>
  <si>
    <t>Total Fire Tax Rate</t>
  </si>
  <si>
    <t>Library Tax Rate</t>
  </si>
  <si>
    <t>Library Tax Amount</t>
  </si>
  <si>
    <t>Town Wide Assessment - leave off last 3 zeros</t>
  </si>
  <si>
    <t>Total Library Rate</t>
  </si>
  <si>
    <t>A Fund Share (balance after village amount)</t>
  </si>
  <si>
    <t>RATES</t>
  </si>
  <si>
    <t>% Increase</t>
  </si>
  <si>
    <t xml:space="preserve">Total </t>
  </si>
  <si>
    <t xml:space="preserve">Total     </t>
  </si>
  <si>
    <t xml:space="preserve">Total    </t>
  </si>
  <si>
    <t xml:space="preserve">Total      </t>
  </si>
  <si>
    <t>Per Hour</t>
  </si>
  <si>
    <t>Lisa Evangelista</t>
  </si>
  <si>
    <t>FICA based at 3% increase</t>
  </si>
  <si>
    <t>2021 Town of Washington</t>
  </si>
  <si>
    <t>Laborer</t>
  </si>
  <si>
    <t>H/MEO, Deputy Hwy Super</t>
  </si>
  <si>
    <t>2021 BUDGET ASSESSMENTS</t>
  </si>
  <si>
    <t>.</t>
  </si>
  <si>
    <t>1% Increase</t>
  </si>
  <si>
    <t>TOTAL A FUND</t>
  </si>
  <si>
    <t>TOTAL B FUND</t>
  </si>
  <si>
    <t>TOTAL HIGHWAY</t>
  </si>
  <si>
    <t>A.1010.0100</t>
  </si>
  <si>
    <t>A.3510.0100</t>
  </si>
  <si>
    <t>A.7020.0100</t>
  </si>
  <si>
    <t>A.7020.0110</t>
  </si>
  <si>
    <t>A.1620.0100</t>
  </si>
  <si>
    <t>A.1110.0100</t>
  </si>
  <si>
    <t>A.8160.0100</t>
  </si>
  <si>
    <t>A.8160.0110</t>
  </si>
  <si>
    <t>A.5010.0100</t>
  </si>
  <si>
    <t>A.1110.0110</t>
  </si>
  <si>
    <t>A.1220.0100</t>
  </si>
  <si>
    <t>A.1355.0110</t>
  </si>
  <si>
    <t>A.1355.0100</t>
  </si>
  <si>
    <t>A.1220.0110</t>
  </si>
  <si>
    <t>A.1410.0100</t>
  </si>
  <si>
    <t>A.1410.0110</t>
  </si>
  <si>
    <t>A.1355.0111.0100</t>
  </si>
  <si>
    <t>A.1460.0100</t>
  </si>
  <si>
    <t>A.7110.0110</t>
  </si>
  <si>
    <t>B.3620.0111</t>
  </si>
  <si>
    <t>B.3620.0100</t>
  </si>
  <si>
    <t>B.8020 &amp; 8010.0110</t>
  </si>
  <si>
    <t>B.3120.0100</t>
  </si>
  <si>
    <t>B.5130.0100</t>
  </si>
  <si>
    <t>B.5110.0100</t>
  </si>
  <si>
    <t>2021 TAX RATES</t>
  </si>
  <si>
    <t>Account Code</t>
  </si>
  <si>
    <t>Highway Superintendent Secretary (15hrs per week)</t>
  </si>
  <si>
    <t>Rec Assistant (40 hr week)</t>
  </si>
  <si>
    <t>TOTAL SALARIES</t>
  </si>
  <si>
    <t>Annual</t>
  </si>
  <si>
    <t>John Hay - Per Hour</t>
  </si>
  <si>
    <t>Records Management Clerk - Per Hour</t>
  </si>
  <si>
    <t>changed from budgeted amount of 25 hrs per week of 26091.00</t>
  </si>
  <si>
    <t>Kelly Cassinelli (30 hrs per week)</t>
  </si>
  <si>
    <t>Joe Rochfort</t>
  </si>
  <si>
    <t xml:space="preserve">New Accesor's Aide </t>
  </si>
  <si>
    <t>Accessor's Aide</t>
  </si>
  <si>
    <t>James Finley</t>
  </si>
  <si>
    <t>Building Inspector /ZBA</t>
  </si>
  <si>
    <t xml:space="preserve">Debbie </t>
  </si>
  <si>
    <t>2022</t>
  </si>
  <si>
    <t>PT Constable</t>
  </si>
  <si>
    <t>James Finley (35 hrs per week)</t>
  </si>
  <si>
    <t>2022Town of Washington</t>
  </si>
  <si>
    <t xml:space="preserve">2022 TOWN OF WASHINGTON </t>
  </si>
  <si>
    <t>2022 TOWN OF WASHINGTON FINAL TAX RATE</t>
  </si>
  <si>
    <t>2022 TAX RATE EXAMPLES</t>
  </si>
  <si>
    <t>2021 COMPARISON</t>
  </si>
  <si>
    <t>2022 TAX RATES</t>
  </si>
  <si>
    <t>2022 Tax Rate Calculator</t>
  </si>
  <si>
    <t>Accessor's Aide (15 Hrs pr week)</t>
  </si>
  <si>
    <t>A.5010.0110</t>
  </si>
  <si>
    <t>2022 BUDGET ASSESSMENTS</t>
  </si>
  <si>
    <t xml:space="preserve">Rec Assistant </t>
  </si>
  <si>
    <t>JOE SPAGNOLAS REQUESTED SALARIES</t>
  </si>
  <si>
    <t>pr Mary</t>
  </si>
  <si>
    <t>Accesor's Clerk(15 hrs pr week)</t>
  </si>
  <si>
    <t>2022 TAX CAP ALLOWABLE LEVY RESERVE</t>
  </si>
  <si>
    <t>Kristin DiFiore (budgeted at 35 hrs pr week)</t>
  </si>
  <si>
    <t>2022 Tax Levy</t>
  </si>
  <si>
    <t>2021 Tax Levy</t>
  </si>
  <si>
    <t>2021 Salary</t>
  </si>
  <si>
    <t>Min Wage</t>
  </si>
  <si>
    <t>Records Management Clerk (13.20 Minimum Wage)</t>
  </si>
  <si>
    <t>PB/ZBA Secretary if needed (20 Hrs week)</t>
  </si>
  <si>
    <t>Safety Insp Sec if needed-(PT 15 hr week)</t>
  </si>
  <si>
    <t>Under Tax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</si>
</sst>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  <numFmt numFmtId="167" formatCode="0.000"/>
    <numFmt numFmtId="168" formatCode="&quot;$&quot;#,##0.000"/>
    <numFmt numFmtId="169" formatCode="_(&quot;$&quot;* #,##0.000_);_(&quot;$&quot;* \(#,##0.000\);_(&quot;$&quot;* &quot;-&quot;???_);_(@_)"/>
    <numFmt numFmtId="170" formatCode="0.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theme="7" tint="0.39997558519241921"/>
      <name val="Calibri"/>
      <family val="2"/>
      <scheme val="minor"/>
    </font>
    <font>
      <sz val="14"/>
      <color theme="8" tint="0.7999816888943144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10" applyNumberFormat="0" applyAlignment="0" applyProtection="0"/>
    <xf numFmtId="0" fontId="1" fillId="10" borderId="0" applyNumberFormat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44" fontId="0" fillId="0" borderId="0" xfId="1" applyFont="1" applyAlignment="1">
      <alignment horizontal="right"/>
    </xf>
    <xf numFmtId="0" fontId="7" fillId="0" borderId="0" xfId="0" applyFont="1"/>
    <xf numFmtId="44" fontId="7" fillId="0" borderId="0" xfId="0" applyNumberFormat="1" applyFont="1"/>
    <xf numFmtId="44" fontId="0" fillId="0" borderId="1" xfId="1" applyFont="1" applyBorder="1"/>
    <xf numFmtId="44" fontId="0" fillId="0" borderId="1" xfId="1" applyFont="1" applyBorder="1" applyAlignment="1"/>
    <xf numFmtId="0" fontId="0" fillId="3" borderId="0" xfId="0" applyFill="1"/>
    <xf numFmtId="44" fontId="0" fillId="3" borderId="0" xfId="1" applyFont="1" applyFill="1"/>
    <xf numFmtId="44" fontId="0" fillId="3" borderId="0" xfId="0" applyNumberFormat="1" applyFill="1"/>
    <xf numFmtId="44" fontId="0" fillId="2" borderId="0" xfId="0" applyNumberFormat="1" applyFill="1"/>
    <xf numFmtId="44" fontId="0" fillId="2" borderId="0" xfId="1" applyFont="1" applyFill="1"/>
    <xf numFmtId="0" fontId="4" fillId="0" borderId="0" xfId="0" applyFont="1"/>
    <xf numFmtId="44" fontId="2" fillId="0" borderId="0" xfId="1" applyFont="1" applyAlignment="1">
      <alignment horizontal="center"/>
    </xf>
    <xf numFmtId="0" fontId="0" fillId="0" borderId="1" xfId="0" applyBorder="1"/>
    <xf numFmtId="44" fontId="5" fillId="0" borderId="1" xfId="1" applyFont="1" applyBorder="1"/>
    <xf numFmtId="44" fontId="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44" fontId="5" fillId="0" borderId="1" xfId="0" applyNumberFormat="1" applyFont="1" applyBorder="1"/>
    <xf numFmtId="44" fontId="0" fillId="0" borderId="0" xfId="0" applyNumberFormat="1" applyBorder="1"/>
    <xf numFmtId="44" fontId="0" fillId="0" borderId="0" xfId="1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44" fontId="2" fillId="0" borderId="0" xfId="0" applyNumberFormat="1" applyFont="1"/>
    <xf numFmtId="0" fontId="0" fillId="0" borderId="0" xfId="0" applyFont="1" applyAlignment="1">
      <alignment horizontal="left"/>
    </xf>
    <xf numFmtId="0" fontId="5" fillId="0" borderId="0" xfId="1" applyNumberFormat="1" applyFont="1" applyAlignment="1">
      <alignment horizontal="center"/>
    </xf>
    <xf numFmtId="8" fontId="0" fillId="0" borderId="0" xfId="0" applyNumberFormat="1"/>
    <xf numFmtId="0" fontId="6" fillId="0" borderId="1" xfId="0" applyFont="1" applyBorder="1" applyAlignment="1">
      <alignment horizontal="center"/>
    </xf>
    <xf numFmtId="44" fontId="0" fillId="0" borderId="0" xfId="0" applyNumberFormat="1" applyFont="1"/>
    <xf numFmtId="0" fontId="2" fillId="0" borderId="0" xfId="1" applyNumberFormat="1" applyFont="1" applyAlignment="1">
      <alignment horizontal="center"/>
    </xf>
    <xf numFmtId="44" fontId="0" fillId="0" borderId="1" xfId="1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9" fillId="0" borderId="0" xfId="1" applyFont="1" applyAlignment="1">
      <alignment horizontal="right"/>
    </xf>
    <xf numFmtId="44" fontId="11" fillId="0" borderId="0" xfId="1" applyFont="1"/>
    <xf numFmtId="44" fontId="9" fillId="0" borderId="0" xfId="1" applyFont="1"/>
    <xf numFmtId="0" fontId="11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Border="1"/>
    <xf numFmtId="44" fontId="9" fillId="0" borderId="1" xfId="1" applyFont="1" applyBorder="1"/>
    <xf numFmtId="44" fontId="11" fillId="0" borderId="1" xfId="1" applyFont="1" applyBorder="1"/>
    <xf numFmtId="44" fontId="9" fillId="0" borderId="1" xfId="1" applyFont="1" applyFill="1" applyBorder="1"/>
    <xf numFmtId="44" fontId="11" fillId="0" borderId="1" xfId="1" applyFont="1" applyBorder="1" applyAlignment="1">
      <alignment horizontal="center"/>
    </xf>
    <xf numFmtId="44" fontId="11" fillId="0" borderId="1" xfId="0" applyNumberFormat="1" applyFont="1" applyBorder="1"/>
    <xf numFmtId="0" fontId="4" fillId="0" borderId="1" xfId="0" applyFont="1" applyBorder="1" applyAlignment="1">
      <alignment horizontal="center"/>
    </xf>
    <xf numFmtId="44" fontId="9" fillId="0" borderId="1" xfId="0" applyNumberFormat="1" applyFont="1" applyBorder="1"/>
    <xf numFmtId="44" fontId="9" fillId="0" borderId="0" xfId="0" applyNumberFormat="1" applyFont="1" applyAlignment="1">
      <alignment horizontal="right"/>
    </xf>
    <xf numFmtId="44" fontId="11" fillId="0" borderId="0" xfId="0" applyNumberFormat="1" applyFont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164" fontId="0" fillId="0" borderId="0" xfId="1" applyNumberFormat="1" applyFont="1"/>
    <xf numFmtId="44" fontId="1" fillId="0" borderId="0" xfId="1" applyFont="1"/>
    <xf numFmtId="44" fontId="0" fillId="0" borderId="0" xfId="1" applyFont="1" applyBorder="1"/>
    <xf numFmtId="44" fontId="9" fillId="0" borderId="0" xfId="1" applyFont="1" applyFill="1" applyBorder="1"/>
    <xf numFmtId="44" fontId="2" fillId="0" borderId="0" xfId="1" applyNumberFormat="1" applyFont="1" applyAlignment="1">
      <alignment horizontal="center"/>
    </xf>
    <xf numFmtId="2" fontId="0" fillId="0" borderId="0" xfId="0" applyNumberFormat="1"/>
    <xf numFmtId="2" fontId="9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2" fillId="0" borderId="0" xfId="0" applyFont="1"/>
    <xf numFmtId="164" fontId="12" fillId="0" borderId="0" xfId="0" applyNumberFormat="1" applyFont="1"/>
    <xf numFmtId="167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64" fontId="0" fillId="0" borderId="0" xfId="0" applyNumberFormat="1" applyFill="1"/>
    <xf numFmtId="9" fontId="0" fillId="0" borderId="0" xfId="0" applyNumberFormat="1"/>
    <xf numFmtId="164" fontId="2" fillId="0" borderId="0" xfId="1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1" applyNumberFormat="1" applyFont="1" applyAlignment="1">
      <alignment horizontal="right"/>
    </xf>
    <xf numFmtId="0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0" fontId="0" fillId="0" borderId="0" xfId="0" applyNumberFormat="1"/>
    <xf numFmtId="49" fontId="2" fillId="0" borderId="0" xfId="0" applyNumberFormat="1" applyFont="1" applyAlignment="1">
      <alignment horizontal="right"/>
    </xf>
    <xf numFmtId="0" fontId="0" fillId="0" borderId="0" xfId="0" applyBorder="1"/>
    <xf numFmtId="164" fontId="0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0" xfId="0" applyNumberFormat="1" applyFill="1" applyBorder="1"/>
    <xf numFmtId="164" fontId="2" fillId="0" borderId="1" xfId="0" applyNumberFormat="1" applyFont="1" applyBorder="1" applyAlignment="1">
      <alignment horizontal="right"/>
    </xf>
    <xf numFmtId="164" fontId="2" fillId="5" borderId="1" xfId="0" applyNumberFormat="1" applyFont="1" applyFill="1" applyBorder="1"/>
    <xf numFmtId="166" fontId="0" fillId="0" borderId="0" xfId="0" applyNumberFormat="1"/>
    <xf numFmtId="170" fontId="0" fillId="0" borderId="0" xfId="0" applyNumberFormat="1"/>
    <xf numFmtId="164" fontId="0" fillId="0" borderId="3" xfId="0" applyNumberFormat="1" applyBorder="1"/>
    <xf numFmtId="164" fontId="15" fillId="6" borderId="1" xfId="2" applyNumberFormat="1" applyBorder="1"/>
    <xf numFmtId="0" fontId="0" fillId="0" borderId="1" xfId="0" applyFont="1" applyBorder="1"/>
    <xf numFmtId="164" fontId="2" fillId="0" borderId="0" xfId="0" applyNumberFormat="1" applyFont="1"/>
    <xf numFmtId="44" fontId="2" fillId="0" borderId="4" xfId="1" applyFont="1" applyBorder="1"/>
    <xf numFmtId="44" fontId="2" fillId="0" borderId="4" xfId="0" applyNumberFormat="1" applyFont="1" applyBorder="1"/>
    <xf numFmtId="44" fontId="2" fillId="0" borderId="4" xfId="0" applyNumberFormat="1" applyFont="1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169" fontId="0" fillId="0" borderId="7" xfId="0" applyNumberFormat="1" applyBorder="1"/>
    <xf numFmtId="164" fontId="12" fillId="0" borderId="7" xfId="0" applyNumberFormat="1" applyFont="1" applyBorder="1"/>
    <xf numFmtId="166" fontId="12" fillId="0" borderId="7" xfId="0" applyNumberFormat="1" applyFont="1" applyBorder="1"/>
    <xf numFmtId="168" fontId="12" fillId="0" borderId="7" xfId="0" applyNumberFormat="1" applyFont="1" applyBorder="1"/>
    <xf numFmtId="164" fontId="17" fillId="9" borderId="10" xfId="5" applyNumberFormat="1"/>
    <xf numFmtId="49" fontId="1" fillId="10" borderId="0" xfId="6" applyNumberFormat="1" applyAlignment="1">
      <alignment horizontal="right"/>
    </xf>
    <xf numFmtId="164" fontId="1" fillId="10" borderId="0" xfId="6" applyNumberFormat="1" applyAlignment="1">
      <alignment horizontal="right"/>
    </xf>
    <xf numFmtId="164" fontId="1" fillId="10" borderId="0" xfId="6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1" fillId="7" borderId="0" xfId="3" applyFont="1"/>
    <xf numFmtId="44" fontId="1" fillId="7" borderId="0" xfId="3" applyNumberFormat="1" applyFont="1"/>
    <xf numFmtId="0" fontId="9" fillId="2" borderId="0" xfId="3" applyFont="1" applyFill="1"/>
    <xf numFmtId="10" fontId="9" fillId="0" borderId="0" xfId="0" applyNumberFormat="1" applyFont="1"/>
    <xf numFmtId="0" fontId="18" fillId="0" borderId="1" xfId="0" applyFont="1" applyBorder="1"/>
    <xf numFmtId="164" fontId="18" fillId="0" borderId="1" xfId="1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10" borderId="1" xfId="6" applyNumberFormat="1" applyFont="1" applyBorder="1" applyAlignment="1">
      <alignment horizontal="right"/>
    </xf>
    <xf numFmtId="164" fontId="18" fillId="4" borderId="1" xfId="0" applyNumberFormat="1" applyFont="1" applyFill="1" applyBorder="1" applyAlignment="1">
      <alignment horizontal="right"/>
    </xf>
    <xf numFmtId="164" fontId="18" fillId="5" borderId="1" xfId="0" applyNumberFormat="1" applyFont="1" applyFill="1" applyBorder="1" applyAlignment="1">
      <alignment horizontal="right"/>
    </xf>
    <xf numFmtId="164" fontId="18" fillId="5" borderId="1" xfId="0" applyNumberFormat="1" applyFont="1" applyFill="1" applyBorder="1"/>
    <xf numFmtId="0" fontId="18" fillId="2" borderId="1" xfId="3" applyFont="1" applyFill="1" applyBorder="1"/>
    <xf numFmtId="164" fontId="18" fillId="2" borderId="1" xfId="3" applyNumberFormat="1" applyFont="1" applyFill="1" applyBorder="1" applyAlignment="1">
      <alignment horizontal="right"/>
    </xf>
    <xf numFmtId="164" fontId="18" fillId="4" borderId="1" xfId="3" applyNumberFormat="1" applyFont="1" applyFill="1" applyBorder="1" applyAlignment="1">
      <alignment horizontal="right"/>
    </xf>
    <xf numFmtId="164" fontId="18" fillId="5" borderId="1" xfId="3" applyNumberFormat="1" applyFont="1" applyFill="1" applyBorder="1" applyAlignment="1">
      <alignment horizontal="right"/>
    </xf>
    <xf numFmtId="164" fontId="18" fillId="5" borderId="1" xfId="3" applyNumberFormat="1" applyFont="1" applyFill="1" applyBorder="1"/>
    <xf numFmtId="0" fontId="18" fillId="0" borderId="0" xfId="0" applyFont="1"/>
    <xf numFmtId="164" fontId="18" fillId="0" borderId="0" xfId="0" applyNumberFormat="1" applyFont="1"/>
    <xf numFmtId="164" fontId="18" fillId="10" borderId="0" xfId="6" applyNumberFormat="1" applyFont="1"/>
    <xf numFmtId="164" fontId="18" fillId="4" borderId="0" xfId="0" applyNumberFormat="1" applyFont="1" applyFill="1"/>
    <xf numFmtId="164" fontId="18" fillId="5" borderId="0" xfId="0" applyNumberFormat="1" applyFont="1" applyFill="1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/>
    <xf numFmtId="0" fontId="18" fillId="0" borderId="0" xfId="0" applyFont="1" applyBorder="1"/>
    <xf numFmtId="164" fontId="18" fillId="11" borderId="1" xfId="3" applyNumberFormat="1" applyFont="1" applyFill="1" applyBorder="1" applyAlignment="1">
      <alignment horizontal="right"/>
    </xf>
    <xf numFmtId="164" fontId="18" fillId="11" borderId="1" xfId="3" applyNumberFormat="1" applyFont="1" applyFill="1" applyBorder="1"/>
    <xf numFmtId="0" fontId="19" fillId="7" borderId="1" xfId="3" applyFont="1" applyBorder="1"/>
    <xf numFmtId="164" fontId="19" fillId="7" borderId="1" xfId="3" applyNumberFormat="1" applyFont="1" applyBorder="1" applyAlignment="1">
      <alignment horizontal="right"/>
    </xf>
    <xf numFmtId="164" fontId="20" fillId="4" borderId="1" xfId="4" applyNumberFormat="1" applyFont="1" applyFill="1" applyBorder="1" applyAlignment="1">
      <alignment horizontal="left"/>
    </xf>
    <xf numFmtId="164" fontId="20" fillId="4" borderId="1" xfId="4" applyNumberFormat="1" applyFont="1" applyFill="1" applyBorder="1" applyAlignment="1">
      <alignment horizontal="right"/>
    </xf>
    <xf numFmtId="164" fontId="18" fillId="5" borderId="1" xfId="0" applyNumberFormat="1" applyFont="1" applyFill="1" applyBorder="1" applyAlignment="1">
      <alignment horizontal="left"/>
    </xf>
    <xf numFmtId="0" fontId="18" fillId="0" borderId="9" xfId="0" applyFont="1" applyBorder="1"/>
    <xf numFmtId="164" fontId="21" fillId="5" borderId="1" xfId="0" applyNumberFormat="1" applyFont="1" applyFill="1" applyBorder="1" applyAlignment="1">
      <alignment horizontal="right"/>
    </xf>
    <xf numFmtId="164" fontId="21" fillId="5" borderId="3" xfId="0" applyNumberFormat="1" applyFont="1" applyFill="1" applyBorder="1"/>
    <xf numFmtId="0" fontId="3" fillId="0" borderId="2" xfId="0" applyFont="1" applyFill="1" applyBorder="1"/>
    <xf numFmtId="164" fontId="18" fillId="0" borderId="0" xfId="1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8" fillId="10" borderId="0" xfId="6" applyNumberFormat="1" applyFont="1" applyBorder="1" applyAlignment="1">
      <alignment horizontal="right"/>
    </xf>
    <xf numFmtId="164" fontId="18" fillId="4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18" fillId="5" borderId="0" xfId="0" applyNumberFormat="1" applyFont="1" applyFill="1" applyBorder="1" applyAlignment="1">
      <alignment horizontal="right"/>
    </xf>
    <xf numFmtId="164" fontId="3" fillId="5" borderId="0" xfId="0" applyNumberFormat="1" applyFont="1" applyFill="1" applyBorder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</cellXfs>
  <cellStyles count="7">
    <cellStyle name="20% - Accent6" xfId="6" builtinId="50"/>
    <cellStyle name="Bad" xfId="3" builtinId="27"/>
    <cellStyle name="Currency" xfId="1" builtinId="4"/>
    <cellStyle name="Good" xfId="2" builtinId="26"/>
    <cellStyle name="Input" xfId="5" builtinId="20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125F-E8E1-46CF-949C-6F3229C0A2F9}">
  <sheetPr>
    <tabColor rgb="FFC00000"/>
    <pageSetUpPr fitToPage="1"/>
  </sheetPr>
  <dimension ref="A1:Q61"/>
  <sheetViews>
    <sheetView topLeftCell="A34" zoomScaleNormal="100" workbookViewId="0">
      <pane xSplit="1" topLeftCell="B1" activePane="topRight" state="frozen"/>
      <selection pane="topRight" activeCell="L27" sqref="L27"/>
    </sheetView>
  </sheetViews>
  <sheetFormatPr defaultRowHeight="15" x14ac:dyDescent="0.25"/>
  <cols>
    <col min="1" max="1" width="48.140625" customWidth="1"/>
    <col min="2" max="2" width="23.28515625" customWidth="1"/>
    <col min="3" max="3" width="15.42578125" customWidth="1"/>
    <col min="4" max="4" width="16.42578125" style="86" customWidth="1"/>
    <col min="5" max="5" width="23.5703125" style="81" customWidth="1"/>
    <col min="6" max="6" width="17.42578125" style="81" customWidth="1"/>
    <col min="7" max="7" width="19.7109375" style="81" customWidth="1"/>
    <col min="8" max="8" width="19.42578125" style="81" customWidth="1"/>
    <col min="9" max="9" width="19.7109375" style="81" customWidth="1"/>
    <col min="10" max="10" width="14.42578125" style="81" customWidth="1"/>
    <col min="11" max="11" width="22.42578125" style="72" customWidth="1"/>
    <col min="12" max="12" width="9" customWidth="1"/>
    <col min="13" max="13" width="15.7109375" customWidth="1"/>
    <col min="14" max="14" width="11.5703125" bestFit="1" customWidth="1"/>
    <col min="16" max="16" width="11.5703125" bestFit="1" customWidth="1"/>
    <col min="17" max="17" width="12" customWidth="1"/>
  </cols>
  <sheetData>
    <row r="1" spans="1:17" ht="23.25" x14ac:dyDescent="0.25">
      <c r="A1" s="167" t="s">
        <v>195</v>
      </c>
    </row>
    <row r="2" spans="1:17" ht="18.75" x14ac:dyDescent="0.3">
      <c r="A2" s="2" t="s">
        <v>41</v>
      </c>
    </row>
    <row r="3" spans="1:17" ht="23.25" x14ac:dyDescent="0.35">
      <c r="A3" s="168" t="s">
        <v>81</v>
      </c>
    </row>
    <row r="5" spans="1:17" x14ac:dyDescent="0.25">
      <c r="A5" s="3" t="s">
        <v>0</v>
      </c>
      <c r="B5" s="3" t="s">
        <v>21</v>
      </c>
      <c r="C5" s="3" t="s">
        <v>177</v>
      </c>
      <c r="D5" s="41">
        <v>2021</v>
      </c>
      <c r="E5" s="94">
        <v>2021</v>
      </c>
      <c r="F5" s="119" t="s">
        <v>192</v>
      </c>
      <c r="G5" s="119" t="s">
        <v>192</v>
      </c>
      <c r="H5" s="87">
        <v>2022</v>
      </c>
      <c r="I5" s="87">
        <v>2022</v>
      </c>
      <c r="J5" s="89">
        <v>2022</v>
      </c>
      <c r="K5" s="89">
        <v>2022</v>
      </c>
      <c r="M5" s="3" t="s">
        <v>141</v>
      </c>
    </row>
    <row r="6" spans="1:17" x14ac:dyDescent="0.25">
      <c r="A6" s="4" t="s">
        <v>92</v>
      </c>
      <c r="D6" s="80" t="s">
        <v>139</v>
      </c>
      <c r="E6" s="82"/>
      <c r="F6" s="120"/>
      <c r="G6" s="120" t="s">
        <v>147</v>
      </c>
      <c r="H6" s="87" t="s">
        <v>139</v>
      </c>
      <c r="I6" s="88" t="s">
        <v>102</v>
      </c>
      <c r="J6" s="90" t="s">
        <v>139</v>
      </c>
      <c r="K6" s="90" t="s">
        <v>103</v>
      </c>
      <c r="M6" s="79"/>
      <c r="P6" s="79"/>
    </row>
    <row r="7" spans="1:17" ht="18.75" x14ac:dyDescent="0.3">
      <c r="A7" s="127" t="s">
        <v>186</v>
      </c>
      <c r="B7" s="127" t="s">
        <v>24</v>
      </c>
      <c r="C7" s="127" t="s">
        <v>151</v>
      </c>
      <c r="D7" s="128"/>
      <c r="E7" s="129">
        <v>4777.1400000000003</v>
      </c>
      <c r="F7" s="130"/>
      <c r="G7" s="130">
        <f t="shared" ref="G7:G31" si="0">SUM(E7*0.01)+E7</f>
        <v>4824.9114</v>
      </c>
      <c r="H7" s="131"/>
      <c r="I7" s="131">
        <f t="shared" ref="I7:I20" si="1">SUM(E7*0.02)+E7</f>
        <v>4872.6828000000005</v>
      </c>
      <c r="J7" s="132"/>
      <c r="K7" s="133">
        <f t="shared" ref="K7:K20" si="2">SUM(E7*0.03)+E7</f>
        <v>4920.4542000000001</v>
      </c>
      <c r="L7" s="43"/>
      <c r="M7" s="9">
        <f t="shared" ref="M7:M32" si="3">SUM(K7*0.0765)</f>
        <v>376.41474629999999</v>
      </c>
      <c r="N7" s="9"/>
      <c r="P7" s="9"/>
      <c r="Q7" s="9"/>
    </row>
    <row r="8" spans="1:17" ht="18.75" x14ac:dyDescent="0.3">
      <c r="A8" s="127" t="s">
        <v>3</v>
      </c>
      <c r="B8" s="127" t="s">
        <v>24</v>
      </c>
      <c r="C8" s="127" t="s">
        <v>151</v>
      </c>
      <c r="D8" s="128"/>
      <c r="E8" s="129">
        <v>4777.1400000000003</v>
      </c>
      <c r="F8" s="130"/>
      <c r="G8" s="130">
        <f t="shared" si="0"/>
        <v>4824.9114</v>
      </c>
      <c r="H8" s="131"/>
      <c r="I8" s="131">
        <f t="shared" si="1"/>
        <v>4872.6828000000005</v>
      </c>
      <c r="J8" s="132"/>
      <c r="K8" s="133">
        <f t="shared" si="2"/>
        <v>4920.4542000000001</v>
      </c>
      <c r="L8" s="43"/>
      <c r="M8" s="9">
        <f t="shared" si="3"/>
        <v>376.41474629999999</v>
      </c>
    </row>
    <row r="9" spans="1:17" ht="18.75" x14ac:dyDescent="0.3">
      <c r="A9" s="127" t="s">
        <v>62</v>
      </c>
      <c r="B9" s="127" t="s">
        <v>24</v>
      </c>
      <c r="C9" s="127" t="s">
        <v>151</v>
      </c>
      <c r="D9" s="128"/>
      <c r="E9" s="129">
        <v>4777.1400000000003</v>
      </c>
      <c r="F9" s="130"/>
      <c r="G9" s="130">
        <f t="shared" si="0"/>
        <v>4824.9114</v>
      </c>
      <c r="H9" s="131"/>
      <c r="I9" s="131">
        <f t="shared" si="1"/>
        <v>4872.6828000000005</v>
      </c>
      <c r="J9" s="132"/>
      <c r="K9" s="133">
        <f t="shared" si="2"/>
        <v>4920.4542000000001</v>
      </c>
      <c r="L9" s="43"/>
      <c r="M9" s="9">
        <f t="shared" si="3"/>
        <v>376.41474629999999</v>
      </c>
    </row>
    <row r="10" spans="1:17" ht="18.75" x14ac:dyDescent="0.3">
      <c r="A10" s="127" t="s">
        <v>2</v>
      </c>
      <c r="B10" s="127" t="s">
        <v>23</v>
      </c>
      <c r="C10" s="127" t="s">
        <v>151</v>
      </c>
      <c r="D10" s="128"/>
      <c r="E10" s="129">
        <v>5971.94</v>
      </c>
      <c r="F10" s="130"/>
      <c r="G10" s="130">
        <f t="shared" si="0"/>
        <v>6031.6593999999996</v>
      </c>
      <c r="H10" s="131"/>
      <c r="I10" s="131">
        <f t="shared" si="1"/>
        <v>6091.3787999999995</v>
      </c>
      <c r="J10" s="132"/>
      <c r="K10" s="133">
        <f t="shared" si="2"/>
        <v>6151.0981999999995</v>
      </c>
      <c r="L10" s="43"/>
      <c r="M10" s="9">
        <f t="shared" si="3"/>
        <v>470.55901229999995</v>
      </c>
    </row>
    <row r="11" spans="1:17" ht="18.75" x14ac:dyDescent="0.3">
      <c r="A11" s="127" t="s">
        <v>6</v>
      </c>
      <c r="B11" s="127" t="s">
        <v>26</v>
      </c>
      <c r="C11" s="127" t="s">
        <v>156</v>
      </c>
      <c r="D11" s="128"/>
      <c r="E11" s="129">
        <v>16914.14639668</v>
      </c>
      <c r="F11" s="130"/>
      <c r="G11" s="130">
        <f t="shared" si="0"/>
        <v>17083.2878606468</v>
      </c>
      <c r="H11" s="131"/>
      <c r="I11" s="131">
        <f t="shared" si="1"/>
        <v>17252.4293246136</v>
      </c>
      <c r="J11" s="132"/>
      <c r="K11" s="133">
        <f t="shared" si="2"/>
        <v>17421.5707885804</v>
      </c>
      <c r="L11" s="43"/>
      <c r="M11" s="9">
        <f t="shared" si="3"/>
        <v>1332.7501653264005</v>
      </c>
    </row>
    <row r="12" spans="1:17" ht="18.75" x14ac:dyDescent="0.3">
      <c r="A12" s="127" t="s">
        <v>7</v>
      </c>
      <c r="B12" s="127" t="s">
        <v>26</v>
      </c>
      <c r="C12" s="127" t="s">
        <v>156</v>
      </c>
      <c r="D12" s="128"/>
      <c r="E12" s="129">
        <v>16914.14639668</v>
      </c>
      <c r="F12" s="130"/>
      <c r="G12" s="130">
        <f t="shared" si="0"/>
        <v>17083.2878606468</v>
      </c>
      <c r="H12" s="131"/>
      <c r="I12" s="131">
        <f t="shared" si="1"/>
        <v>17252.4293246136</v>
      </c>
      <c r="J12" s="132"/>
      <c r="K12" s="133">
        <f t="shared" si="2"/>
        <v>17421.5707885804</v>
      </c>
      <c r="L12" s="43"/>
      <c r="M12" s="9">
        <f t="shared" si="3"/>
        <v>1332.7501653264005</v>
      </c>
    </row>
    <row r="13" spans="1:17" s="123" customFormat="1" ht="18.75" x14ac:dyDescent="0.3">
      <c r="A13" s="134" t="s">
        <v>210</v>
      </c>
      <c r="B13" s="134" t="s">
        <v>34</v>
      </c>
      <c r="C13" s="134" t="s">
        <v>160</v>
      </c>
      <c r="D13" s="135">
        <v>19.12982905982906</v>
      </c>
      <c r="E13" s="135">
        <v>17905.52</v>
      </c>
      <c r="F13" s="130">
        <f>SUM(G13/26/36)</f>
        <v>19.32112735042735</v>
      </c>
      <c r="G13" s="130">
        <f t="shared" si="0"/>
        <v>18084.575199999999</v>
      </c>
      <c r="H13" s="136">
        <v>18</v>
      </c>
      <c r="I13" s="136">
        <v>28080</v>
      </c>
      <c r="J13" s="137">
        <v>19</v>
      </c>
      <c r="K13" s="138">
        <v>34580</v>
      </c>
      <c r="L13" s="125" t="s">
        <v>207</v>
      </c>
      <c r="M13" s="124">
        <f t="shared" si="3"/>
        <v>2645.37</v>
      </c>
    </row>
    <row r="14" spans="1:17" ht="18.75" x14ac:dyDescent="0.3">
      <c r="A14" s="127" t="s">
        <v>1</v>
      </c>
      <c r="B14" s="127" t="s">
        <v>22</v>
      </c>
      <c r="C14" s="127" t="s">
        <v>161</v>
      </c>
      <c r="D14" s="128"/>
      <c r="E14" s="129">
        <v>19107.53</v>
      </c>
      <c r="F14" s="130"/>
      <c r="G14" s="130">
        <f t="shared" si="0"/>
        <v>19298.605299999999</v>
      </c>
      <c r="H14" s="131" t="s">
        <v>66</v>
      </c>
      <c r="I14" s="131">
        <f t="shared" si="1"/>
        <v>19489.6806</v>
      </c>
      <c r="J14" s="132"/>
      <c r="K14" s="133">
        <f t="shared" si="2"/>
        <v>19680.7559</v>
      </c>
      <c r="L14" s="43"/>
      <c r="M14" s="9">
        <f t="shared" si="3"/>
        <v>1505.5778263499999</v>
      </c>
    </row>
    <row r="15" spans="1:17" ht="18.75" x14ac:dyDescent="0.3">
      <c r="A15" s="127" t="s">
        <v>104</v>
      </c>
      <c r="B15" s="127" t="s">
        <v>28</v>
      </c>
      <c r="C15" s="127" t="s">
        <v>164</v>
      </c>
      <c r="D15" s="129">
        <v>32.643076923076919</v>
      </c>
      <c r="E15" s="128">
        <v>50923.199999999997</v>
      </c>
      <c r="F15" s="130">
        <f>SUM(G15/26/60)</f>
        <v>32.969507692307694</v>
      </c>
      <c r="G15" s="130">
        <f t="shared" si="0"/>
        <v>51432.432000000001</v>
      </c>
      <c r="H15" s="131">
        <f>SUM(I15/26/60)</f>
        <v>33.295938461538455</v>
      </c>
      <c r="I15" s="131">
        <f t="shared" si="1"/>
        <v>51941.663999999997</v>
      </c>
      <c r="J15" s="132">
        <f>SUM(K15/26/60)</f>
        <v>33.623010256410254</v>
      </c>
      <c r="K15" s="133">
        <f>SUM(E15*0.03)+E15+1</f>
        <v>52451.895999999993</v>
      </c>
      <c r="L15" s="43"/>
      <c r="M15" s="9">
        <f t="shared" si="3"/>
        <v>4012.5700439999996</v>
      </c>
    </row>
    <row r="16" spans="1:17" ht="18.75" x14ac:dyDescent="0.3">
      <c r="A16" s="127" t="s">
        <v>140</v>
      </c>
      <c r="B16" s="127" t="s">
        <v>31</v>
      </c>
      <c r="C16" s="127" t="s">
        <v>163</v>
      </c>
      <c r="D16" s="128">
        <v>31.930000000000003</v>
      </c>
      <c r="E16" s="129">
        <v>49810.8</v>
      </c>
      <c r="F16" s="130">
        <f>SUM(G16/26/60)</f>
        <v>32.249299999999998</v>
      </c>
      <c r="G16" s="130">
        <f t="shared" si="0"/>
        <v>50308.908000000003</v>
      </c>
      <c r="H16" s="131">
        <f>SUM(I16/26/60)</f>
        <v>32.568600000000004</v>
      </c>
      <c r="I16" s="131">
        <f t="shared" si="1"/>
        <v>50807.016000000003</v>
      </c>
      <c r="J16" s="132">
        <f>SUM(K16/26/60)</f>
        <v>32.887900000000002</v>
      </c>
      <c r="K16" s="133">
        <f t="shared" si="2"/>
        <v>51305.124000000003</v>
      </c>
      <c r="L16" s="43"/>
      <c r="M16" s="9">
        <f t="shared" si="3"/>
        <v>3924.8419860000004</v>
      </c>
    </row>
    <row r="17" spans="1:13" ht="18.75" x14ac:dyDescent="0.3">
      <c r="A17" s="127" t="s">
        <v>208</v>
      </c>
      <c r="B17" s="127" t="s">
        <v>32</v>
      </c>
      <c r="C17" s="127" t="s">
        <v>162</v>
      </c>
      <c r="D17" s="128">
        <v>18</v>
      </c>
      <c r="E17" s="129">
        <v>14040</v>
      </c>
      <c r="F17" s="130">
        <f>SUM(G17/26/30)</f>
        <v>18.18</v>
      </c>
      <c r="G17" s="130">
        <f t="shared" si="0"/>
        <v>14180.4</v>
      </c>
      <c r="H17" s="131">
        <f>SUM(I17/26/30)</f>
        <v>18.36</v>
      </c>
      <c r="I17" s="131">
        <f t="shared" si="1"/>
        <v>14320.8</v>
      </c>
      <c r="J17" s="132">
        <f>SUM(K17/26/30)</f>
        <v>18.540000000000003</v>
      </c>
      <c r="K17" s="133">
        <f t="shared" si="2"/>
        <v>14461.2</v>
      </c>
      <c r="L17" s="43"/>
      <c r="M17" s="9">
        <f t="shared" si="3"/>
        <v>1106.2818</v>
      </c>
    </row>
    <row r="18" spans="1:13" ht="18.75" x14ac:dyDescent="0.3">
      <c r="A18" s="127" t="s">
        <v>202</v>
      </c>
      <c r="B18" s="127" t="s">
        <v>32</v>
      </c>
      <c r="C18" s="127" t="s">
        <v>167</v>
      </c>
      <c r="D18" s="128">
        <v>18</v>
      </c>
      <c r="E18" s="129">
        <v>14040</v>
      </c>
      <c r="F18" s="130">
        <v>18.18</v>
      </c>
      <c r="G18" s="130">
        <f t="shared" si="0"/>
        <v>14180.4</v>
      </c>
      <c r="H18" s="131">
        <f>SUM(I18/26/30)</f>
        <v>18.36</v>
      </c>
      <c r="I18" s="131">
        <f t="shared" si="1"/>
        <v>14320.8</v>
      </c>
      <c r="J18" s="132">
        <f>SUM(K18/26/30)</f>
        <v>18.540000000000003</v>
      </c>
      <c r="K18" s="133">
        <f t="shared" si="2"/>
        <v>14461.2</v>
      </c>
      <c r="L18" s="43"/>
      <c r="M18" s="9">
        <f t="shared" si="3"/>
        <v>1106.2818</v>
      </c>
    </row>
    <row r="19" spans="1:13" ht="18.75" x14ac:dyDescent="0.3">
      <c r="A19" s="127" t="s">
        <v>4</v>
      </c>
      <c r="B19" s="127" t="s">
        <v>25</v>
      </c>
      <c r="C19" s="127" t="s">
        <v>165</v>
      </c>
      <c r="D19" s="128"/>
      <c r="E19" s="129">
        <v>65649.11</v>
      </c>
      <c r="F19" s="130"/>
      <c r="G19" s="130">
        <f t="shared" si="0"/>
        <v>66305.6011</v>
      </c>
      <c r="H19" s="131"/>
      <c r="I19" s="131">
        <f t="shared" si="1"/>
        <v>66962.092199999999</v>
      </c>
      <c r="J19" s="132"/>
      <c r="K19" s="133">
        <f>SUM(E19*0.03)+E19+1</f>
        <v>67619.583299999998</v>
      </c>
      <c r="L19" s="43"/>
      <c r="M19" s="9">
        <f t="shared" si="3"/>
        <v>5172.8981224499994</v>
      </c>
    </row>
    <row r="20" spans="1:13" ht="18.75" x14ac:dyDescent="0.3">
      <c r="A20" s="127" t="s">
        <v>84</v>
      </c>
      <c r="B20" s="127" t="s">
        <v>27</v>
      </c>
      <c r="C20" s="127" t="s">
        <v>166</v>
      </c>
      <c r="D20" s="129">
        <v>26.410256410256409</v>
      </c>
      <c r="E20" s="129">
        <v>41200</v>
      </c>
      <c r="F20" s="130">
        <f>SUM(G20/26/60)</f>
        <v>26.674358974358977</v>
      </c>
      <c r="G20" s="130">
        <f t="shared" si="0"/>
        <v>41612</v>
      </c>
      <c r="H20" s="131">
        <f>SUM(I20/26/60)</f>
        <v>26.938461538461539</v>
      </c>
      <c r="I20" s="131">
        <f t="shared" si="1"/>
        <v>42024</v>
      </c>
      <c r="J20" s="132">
        <f>SUM(K20/26/60)</f>
        <v>27.202564102564104</v>
      </c>
      <c r="K20" s="133">
        <f t="shared" si="2"/>
        <v>42436</v>
      </c>
      <c r="L20" s="43"/>
      <c r="M20" s="9">
        <f t="shared" si="3"/>
        <v>3246.3539999999998</v>
      </c>
    </row>
    <row r="21" spans="1:13" ht="18.75" x14ac:dyDescent="0.3">
      <c r="A21" s="127" t="s">
        <v>215</v>
      </c>
      <c r="B21" s="127" t="s">
        <v>87</v>
      </c>
      <c r="C21" s="127" t="s">
        <v>168</v>
      </c>
      <c r="D21" s="128">
        <v>12.5</v>
      </c>
      <c r="E21" s="129">
        <v>12.5</v>
      </c>
      <c r="F21" s="130">
        <v>13.2</v>
      </c>
      <c r="G21" s="130">
        <v>13.2</v>
      </c>
      <c r="H21" s="131">
        <v>13.2</v>
      </c>
      <c r="I21" s="131">
        <v>13.2</v>
      </c>
      <c r="J21" s="132">
        <v>13.2</v>
      </c>
      <c r="K21" s="133">
        <v>13.2</v>
      </c>
      <c r="L21" s="43" t="s">
        <v>214</v>
      </c>
      <c r="M21" s="9">
        <f t="shared" si="3"/>
        <v>1.0098</v>
      </c>
    </row>
    <row r="22" spans="1:13" ht="18.75" x14ac:dyDescent="0.3">
      <c r="A22" s="127" t="s">
        <v>67</v>
      </c>
      <c r="B22" s="127" t="s">
        <v>68</v>
      </c>
      <c r="C22" s="127" t="s">
        <v>155</v>
      </c>
      <c r="D22" s="128">
        <v>13.71</v>
      </c>
      <c r="E22" s="129">
        <v>5346.9</v>
      </c>
      <c r="F22" s="130">
        <v>13.85</v>
      </c>
      <c r="G22" s="130">
        <f t="shared" ref="G22" si="4">SUM(E22*0.01)+E22</f>
        <v>5400.3689999999997</v>
      </c>
      <c r="H22" s="131">
        <v>13.99</v>
      </c>
      <c r="I22" s="131">
        <f t="shared" ref="I22" si="5">SUM(E22*0.02)+E22</f>
        <v>5453.8379999999997</v>
      </c>
      <c r="J22" s="132">
        <v>14.13</v>
      </c>
      <c r="K22" s="133">
        <f t="shared" ref="K22" si="6">SUM(E22*0.03)+E22</f>
        <v>5507.3069999999998</v>
      </c>
      <c r="L22" s="43"/>
      <c r="M22" s="9">
        <f t="shared" si="3"/>
        <v>421.30898549999995</v>
      </c>
    </row>
    <row r="23" spans="1:13" ht="18.75" x14ac:dyDescent="0.3">
      <c r="A23" s="127" t="s">
        <v>9</v>
      </c>
      <c r="B23" s="127" t="s">
        <v>33</v>
      </c>
      <c r="C23" s="127" t="s">
        <v>152</v>
      </c>
      <c r="D23" s="128"/>
      <c r="E23" s="129">
        <v>11464.93</v>
      </c>
      <c r="F23" s="130"/>
      <c r="G23" s="130">
        <f t="shared" si="0"/>
        <v>11579.579299999999</v>
      </c>
      <c r="H23" s="131"/>
      <c r="I23" s="131">
        <f t="shared" ref="I23:I31" si="7">SUM(E23*0.02)+E23</f>
        <v>11694.2286</v>
      </c>
      <c r="J23" s="132"/>
      <c r="K23" s="133">
        <f t="shared" ref="K23:K31" si="8">SUM(E23*0.03)+E23</f>
        <v>11808.877899999999</v>
      </c>
      <c r="L23" s="43"/>
      <c r="M23" s="9">
        <f t="shared" si="3"/>
        <v>903.3791593499999</v>
      </c>
    </row>
    <row r="24" spans="1:13" ht="18.75" x14ac:dyDescent="0.3">
      <c r="A24" s="127" t="s">
        <v>5</v>
      </c>
      <c r="B24" s="127" t="s">
        <v>82</v>
      </c>
      <c r="C24" s="127" t="s">
        <v>159</v>
      </c>
      <c r="D24" s="128"/>
      <c r="E24" s="129">
        <v>65649.11</v>
      </c>
      <c r="F24" s="130"/>
      <c r="G24" s="130">
        <f t="shared" si="0"/>
        <v>66305.6011</v>
      </c>
      <c r="H24" s="131"/>
      <c r="I24" s="131">
        <f t="shared" si="7"/>
        <v>66962.092199999999</v>
      </c>
      <c r="J24" s="132"/>
      <c r="K24" s="133">
        <f>SUM(E24*0.03)+E24+1</f>
        <v>67619.583299999998</v>
      </c>
      <c r="L24" s="43"/>
      <c r="M24" s="9">
        <f t="shared" si="3"/>
        <v>5172.8981224499994</v>
      </c>
    </row>
    <row r="25" spans="1:13" ht="18.75" x14ac:dyDescent="0.3">
      <c r="A25" s="127" t="s">
        <v>178</v>
      </c>
      <c r="B25" s="127"/>
      <c r="C25" s="127" t="s">
        <v>203</v>
      </c>
      <c r="D25" s="128">
        <v>18</v>
      </c>
      <c r="E25" s="129">
        <v>14040</v>
      </c>
      <c r="F25" s="130">
        <f>SUM(G25/26/30)</f>
        <v>18.18</v>
      </c>
      <c r="G25" s="130">
        <f>SUM(E25*0.01)+E25</f>
        <v>14180.4</v>
      </c>
      <c r="H25" s="131">
        <f>SUM(I25/26/30)</f>
        <v>18.36</v>
      </c>
      <c r="I25" s="131">
        <f>SUM(E25*0.02)+E25</f>
        <v>14320.8</v>
      </c>
      <c r="J25" s="132">
        <f>SUM(K25/26/30)</f>
        <v>18.540000000000003</v>
      </c>
      <c r="K25" s="133">
        <f>SUM(E25*0.03)+E25</f>
        <v>14461.2</v>
      </c>
      <c r="L25" s="43"/>
      <c r="M25" s="9">
        <f>SUM(K25*0.0765)</f>
        <v>1106.2818</v>
      </c>
    </row>
    <row r="26" spans="1:13" ht="18.75" x14ac:dyDescent="0.3">
      <c r="A26" s="127" t="s">
        <v>8</v>
      </c>
      <c r="B26" s="127" t="s">
        <v>29</v>
      </c>
      <c r="C26" s="127" t="s">
        <v>153</v>
      </c>
      <c r="D26" s="129">
        <v>27.8679375</v>
      </c>
      <c r="E26" s="129">
        <v>57965.31</v>
      </c>
      <c r="F26" s="130">
        <f>SUM(G26/26/80)</f>
        <v>28.146616874999999</v>
      </c>
      <c r="G26" s="130">
        <f t="shared" si="0"/>
        <v>58544.963100000001</v>
      </c>
      <c r="H26" s="131">
        <f>SUM(I26/26/80)</f>
        <v>28.425296249999995</v>
      </c>
      <c r="I26" s="131">
        <f t="shared" si="7"/>
        <v>59124.616199999997</v>
      </c>
      <c r="J26" s="132">
        <f>SUM(K26/26/80)</f>
        <v>28.846153846153847</v>
      </c>
      <c r="K26" s="133">
        <v>60000</v>
      </c>
      <c r="L26" s="126">
        <v>3.5099999999999999E-2</v>
      </c>
      <c r="M26" s="9">
        <f t="shared" si="3"/>
        <v>4590</v>
      </c>
    </row>
    <row r="27" spans="1:13" ht="18.75" x14ac:dyDescent="0.3">
      <c r="A27" s="139" t="s">
        <v>205</v>
      </c>
      <c r="B27" s="139" t="s">
        <v>30</v>
      </c>
      <c r="C27" s="139" t="s">
        <v>154</v>
      </c>
      <c r="D27" s="140">
        <v>13</v>
      </c>
      <c r="E27" s="140">
        <v>5000</v>
      </c>
      <c r="F27" s="141">
        <v>13</v>
      </c>
      <c r="G27" s="141">
        <v>5000</v>
      </c>
      <c r="H27" s="142">
        <v>13</v>
      </c>
      <c r="I27" s="142">
        <v>5000</v>
      </c>
      <c r="J27" s="143">
        <v>13</v>
      </c>
      <c r="K27" s="143">
        <v>5000</v>
      </c>
      <c r="L27" s="43"/>
      <c r="M27">
        <f t="shared" si="3"/>
        <v>382.5</v>
      </c>
    </row>
    <row r="28" spans="1:13" ht="18.75" x14ac:dyDescent="0.3">
      <c r="A28" s="127" t="s">
        <v>106</v>
      </c>
      <c r="B28" s="127" t="s">
        <v>35</v>
      </c>
      <c r="C28" s="127" t="s">
        <v>169</v>
      </c>
      <c r="D28" s="128">
        <v>18.0044</v>
      </c>
      <c r="E28" s="129">
        <v>17787</v>
      </c>
      <c r="F28" s="130">
        <f>SUM(D28*0.01)+D28</f>
        <v>18.184443999999999</v>
      </c>
      <c r="G28" s="130">
        <f t="shared" si="0"/>
        <v>17964.87</v>
      </c>
      <c r="H28" s="131">
        <f>SUM(D28*0.02)+D28</f>
        <v>18.364488000000001</v>
      </c>
      <c r="I28" s="131">
        <f t="shared" si="7"/>
        <v>18142.740000000002</v>
      </c>
      <c r="J28" s="132">
        <f>SUM(D28*0.03)+D28</f>
        <v>18.544532</v>
      </c>
      <c r="K28" s="133">
        <f t="shared" si="8"/>
        <v>18320.61</v>
      </c>
      <c r="L28" s="43"/>
      <c r="M28" s="9">
        <f t="shared" si="3"/>
        <v>1401.5266650000001</v>
      </c>
    </row>
    <row r="29" spans="1:13" ht="18.75" x14ac:dyDescent="0.3">
      <c r="A29" s="127" t="s">
        <v>12</v>
      </c>
      <c r="B29" s="127" t="s">
        <v>83</v>
      </c>
      <c r="C29" s="127" t="s">
        <v>157</v>
      </c>
      <c r="D29" s="128">
        <v>20.095729166666668</v>
      </c>
      <c r="E29" s="129">
        <v>25079.47</v>
      </c>
      <c r="F29" s="130">
        <f>SUM(G29/26/48)</f>
        <v>20.296686458333333</v>
      </c>
      <c r="G29" s="130">
        <f t="shared" si="0"/>
        <v>25330.2647</v>
      </c>
      <c r="H29" s="131">
        <f>SUM(I29/26/48)</f>
        <v>20.497643750000002</v>
      </c>
      <c r="I29" s="131">
        <f t="shared" si="7"/>
        <v>25581.059400000002</v>
      </c>
      <c r="J29" s="132">
        <f>SUM(K29/26/48)</f>
        <v>20.698601041666667</v>
      </c>
      <c r="K29" s="133">
        <f t="shared" si="8"/>
        <v>25831.8541</v>
      </c>
      <c r="L29" s="43"/>
      <c r="M29" s="9">
        <f t="shared" si="3"/>
        <v>1976.1368386500001</v>
      </c>
    </row>
    <row r="30" spans="1:13" ht="18.75" x14ac:dyDescent="0.3">
      <c r="A30" s="127" t="s">
        <v>13</v>
      </c>
      <c r="B30" s="127" t="s">
        <v>83</v>
      </c>
      <c r="C30" s="127" t="s">
        <v>157</v>
      </c>
      <c r="D30" s="128">
        <v>20.095729166666668</v>
      </c>
      <c r="E30" s="129">
        <v>25079.47</v>
      </c>
      <c r="F30" s="130">
        <f>SUM(G30/26/48)</f>
        <v>20.296686458333333</v>
      </c>
      <c r="G30" s="130">
        <f t="shared" si="0"/>
        <v>25330.2647</v>
      </c>
      <c r="H30" s="131">
        <f>SUM(I30/26/48)</f>
        <v>20.497643750000002</v>
      </c>
      <c r="I30" s="131">
        <f t="shared" si="7"/>
        <v>25581.059400000002</v>
      </c>
      <c r="J30" s="132">
        <f>SUM(K30/26/48)</f>
        <v>20.698601041666667</v>
      </c>
      <c r="K30" s="133">
        <f t="shared" si="8"/>
        <v>25831.8541</v>
      </c>
      <c r="L30" s="43"/>
      <c r="M30" s="9">
        <f t="shared" si="3"/>
        <v>1976.1368386500001</v>
      </c>
    </row>
    <row r="31" spans="1:13" ht="18.75" x14ac:dyDescent="0.3">
      <c r="A31" s="127" t="s">
        <v>19</v>
      </c>
      <c r="B31" s="127" t="s">
        <v>83</v>
      </c>
      <c r="C31" s="127" t="s">
        <v>158</v>
      </c>
      <c r="D31" s="128">
        <v>20.100000000000001</v>
      </c>
      <c r="E31" s="129">
        <v>20.095300000000002</v>
      </c>
      <c r="F31" s="130">
        <v>20.3</v>
      </c>
      <c r="G31" s="130">
        <f t="shared" si="0"/>
        <v>20.296253</v>
      </c>
      <c r="H31" s="131">
        <v>20.5</v>
      </c>
      <c r="I31" s="131">
        <f t="shared" si="7"/>
        <v>20.497206000000002</v>
      </c>
      <c r="J31" s="132">
        <v>20.7</v>
      </c>
      <c r="K31" s="133">
        <f t="shared" si="8"/>
        <v>20.698159</v>
      </c>
      <c r="L31" s="43"/>
      <c r="M31" s="9">
        <f t="shared" si="3"/>
        <v>1.5834091635</v>
      </c>
    </row>
    <row r="32" spans="1:13" ht="18.75" x14ac:dyDescent="0.3">
      <c r="A32" s="144" t="s">
        <v>148</v>
      </c>
      <c r="B32" s="127"/>
      <c r="C32" s="127"/>
      <c r="D32" s="128"/>
      <c r="E32" s="145">
        <v>572796.20809335995</v>
      </c>
      <c r="F32" s="130"/>
      <c r="G32" s="130">
        <f>SUM(G7:G31)</f>
        <v>559745.6990742936</v>
      </c>
      <c r="H32" s="131"/>
      <c r="I32" s="146">
        <f>SUM(I7:I31)</f>
        <v>575054.46965522715</v>
      </c>
      <c r="J32" s="132"/>
      <c r="K32" s="147">
        <f>SUM(K7:K31)</f>
        <v>587166.54613616085</v>
      </c>
      <c r="L32" s="43"/>
      <c r="M32" s="35">
        <f t="shared" si="3"/>
        <v>44918.240779416301</v>
      </c>
    </row>
    <row r="33" spans="1:13" ht="18.75" x14ac:dyDescent="0.3">
      <c r="A33" s="127"/>
      <c r="B33" s="127"/>
      <c r="C33" s="127"/>
      <c r="D33" s="128"/>
      <c r="E33" s="129"/>
      <c r="F33" s="130"/>
      <c r="G33" s="130"/>
      <c r="H33" s="131"/>
      <c r="I33" s="131"/>
      <c r="J33" s="132"/>
      <c r="K33" s="133"/>
      <c r="L33" s="43"/>
      <c r="M33" s="9"/>
    </row>
    <row r="34" spans="1:13" ht="18.75" x14ac:dyDescent="0.3">
      <c r="A34" s="144" t="s">
        <v>93</v>
      </c>
      <c r="B34" s="127"/>
      <c r="C34" s="127"/>
      <c r="D34" s="128"/>
      <c r="E34" s="129"/>
      <c r="F34" s="130"/>
      <c r="G34" s="130"/>
      <c r="H34" s="131"/>
      <c r="I34" s="131"/>
      <c r="J34" s="132"/>
      <c r="K34" s="133"/>
      <c r="L34" s="43"/>
      <c r="M34" s="9"/>
    </row>
    <row r="35" spans="1:13" ht="18.75" x14ac:dyDescent="0.3">
      <c r="A35" s="127" t="s">
        <v>12</v>
      </c>
      <c r="B35" s="127" t="s">
        <v>193</v>
      </c>
      <c r="C35" s="127" t="s">
        <v>173</v>
      </c>
      <c r="D35" s="128"/>
      <c r="E35" s="129">
        <v>2751.87</v>
      </c>
      <c r="F35" s="130"/>
      <c r="G35" s="130">
        <f t="shared" ref="G35:G38" si="9">SUM(E35*0.01)+E35</f>
        <v>2779.3887</v>
      </c>
      <c r="H35" s="131"/>
      <c r="I35" s="131">
        <f t="shared" ref="I35:I38" si="10">SUM(E35*0.02)+E35</f>
        <v>2806.9074000000001</v>
      </c>
      <c r="J35" s="132"/>
      <c r="K35" s="133">
        <v>4055.14</v>
      </c>
      <c r="L35" s="43"/>
      <c r="M35" s="9">
        <f t="shared" ref="M35:M40" si="11">SUM(K35*0.0765)</f>
        <v>310.21821</v>
      </c>
    </row>
    <row r="36" spans="1:13" ht="18.75" x14ac:dyDescent="0.3">
      <c r="A36" s="127" t="s">
        <v>11</v>
      </c>
      <c r="B36" s="148" t="s">
        <v>37</v>
      </c>
      <c r="C36" s="148" t="s">
        <v>173</v>
      </c>
      <c r="D36" s="128"/>
      <c r="E36" s="129">
        <v>2751.8690404499998</v>
      </c>
      <c r="F36" s="130"/>
      <c r="G36" s="130">
        <f t="shared" si="9"/>
        <v>2779.3877308544998</v>
      </c>
      <c r="H36" s="131"/>
      <c r="I36" s="131">
        <f t="shared" si="10"/>
        <v>2806.9064212589997</v>
      </c>
      <c r="J36" s="132"/>
      <c r="K36" s="133">
        <f t="shared" ref="K36" si="12">SUM(E36*0.03)+E36</f>
        <v>2834.4251116634996</v>
      </c>
      <c r="L36" s="43"/>
      <c r="M36" s="9">
        <f t="shared" si="11"/>
        <v>216.8335210422577</v>
      </c>
    </row>
    <row r="37" spans="1:13" ht="18.75" x14ac:dyDescent="0.3">
      <c r="A37" s="127" t="s">
        <v>194</v>
      </c>
      <c r="B37" s="127" t="s">
        <v>190</v>
      </c>
      <c r="C37" s="127" t="s">
        <v>171</v>
      </c>
      <c r="D37" s="128">
        <v>27.41</v>
      </c>
      <c r="E37" s="129">
        <v>49886.2</v>
      </c>
      <c r="F37" s="130">
        <f>SUM(G37/26/70)</f>
        <v>27.684100000000001</v>
      </c>
      <c r="G37" s="130">
        <f t="shared" si="9"/>
        <v>50385.061999999998</v>
      </c>
      <c r="H37" s="131">
        <f>SUM(I37/26/70)</f>
        <v>27.958200000000001</v>
      </c>
      <c r="I37" s="131">
        <f t="shared" si="10"/>
        <v>50883.923999999999</v>
      </c>
      <c r="J37" s="132">
        <f>SUM(K37/26/70)</f>
        <v>29</v>
      </c>
      <c r="K37" s="133">
        <v>52780</v>
      </c>
      <c r="L37" s="43" t="s">
        <v>207</v>
      </c>
      <c r="M37" s="9">
        <f t="shared" si="11"/>
        <v>4037.67</v>
      </c>
    </row>
    <row r="38" spans="1:13" s="123" customFormat="1" ht="18.75" x14ac:dyDescent="0.3">
      <c r="A38" s="134" t="s">
        <v>217</v>
      </c>
      <c r="B38" s="134" t="s">
        <v>105</v>
      </c>
      <c r="C38" s="134" t="s">
        <v>170</v>
      </c>
      <c r="D38" s="135">
        <v>20.07</v>
      </c>
      <c r="E38" s="135">
        <v>31309.200000000001</v>
      </c>
      <c r="F38" s="130">
        <f>SUM(G38/26/60)</f>
        <v>20.270699999999998</v>
      </c>
      <c r="G38" s="130">
        <f t="shared" si="9"/>
        <v>31622.292000000001</v>
      </c>
      <c r="H38" s="136">
        <f>SUM(I38/26/60)</f>
        <v>20.471400000000003</v>
      </c>
      <c r="I38" s="136">
        <f t="shared" si="10"/>
        <v>31935.384000000002</v>
      </c>
      <c r="J38" s="149">
        <v>19</v>
      </c>
      <c r="K38" s="150">
        <v>14820</v>
      </c>
      <c r="L38" s="125"/>
      <c r="M38" s="124">
        <f t="shared" si="11"/>
        <v>1133.73</v>
      </c>
    </row>
    <row r="39" spans="1:13" ht="18.75" x14ac:dyDescent="0.3">
      <c r="A39" s="151" t="s">
        <v>216</v>
      </c>
      <c r="B39" s="151" t="s">
        <v>80</v>
      </c>
      <c r="C39" s="151" t="s">
        <v>172</v>
      </c>
      <c r="D39" s="152">
        <v>18</v>
      </c>
      <c r="E39" s="152">
        <f>SUM(D39*50*26)</f>
        <v>23400</v>
      </c>
      <c r="F39" s="152">
        <f>SUM(D39*0.01)+D39</f>
        <v>18.18</v>
      </c>
      <c r="G39" s="152">
        <f>SUM(F39*50*26)</f>
        <v>23634</v>
      </c>
      <c r="H39" s="152">
        <f>SUM(F39*0.01)+F39</f>
        <v>18.361799999999999</v>
      </c>
      <c r="I39" s="152">
        <f>SUM(H39*50*26)</f>
        <v>23870.339999999997</v>
      </c>
      <c r="J39" s="152"/>
      <c r="K39" s="152">
        <v>20000</v>
      </c>
      <c r="L39" s="43"/>
      <c r="M39" s="9">
        <f t="shared" si="11"/>
        <v>1530</v>
      </c>
    </row>
    <row r="40" spans="1:13" ht="18.75" x14ac:dyDescent="0.3">
      <c r="A40" s="144" t="s">
        <v>149</v>
      </c>
      <c r="B40" s="127"/>
      <c r="C40" s="127"/>
      <c r="D40" s="128"/>
      <c r="E40" s="145">
        <v>102586.24985783</v>
      </c>
      <c r="F40" s="130"/>
      <c r="G40" s="130">
        <f>SUM(G35:G39)</f>
        <v>111200.13043085451</v>
      </c>
      <c r="H40" s="131"/>
      <c r="I40" s="146">
        <f>SUM(I35:I39)</f>
        <v>112303.461821259</v>
      </c>
      <c r="J40" s="132"/>
      <c r="K40" s="147">
        <f>SUM(K35:K39)</f>
        <v>94489.565111663498</v>
      </c>
      <c r="L40" s="43"/>
      <c r="M40" s="35">
        <f t="shared" si="11"/>
        <v>7228.4517310422571</v>
      </c>
    </row>
    <row r="41" spans="1:13" ht="18.75" x14ac:dyDescent="0.3">
      <c r="A41" s="127"/>
      <c r="B41" s="127"/>
      <c r="C41" s="127"/>
      <c r="D41" s="128"/>
      <c r="E41" s="129"/>
      <c r="F41" s="130"/>
      <c r="G41" s="130"/>
      <c r="H41" s="131"/>
      <c r="I41" s="131"/>
      <c r="J41" s="132"/>
      <c r="K41" s="133"/>
      <c r="L41" s="43"/>
      <c r="M41" s="9"/>
    </row>
    <row r="42" spans="1:13" ht="18.75" x14ac:dyDescent="0.3">
      <c r="A42" s="127"/>
      <c r="B42" s="127"/>
      <c r="C42" s="127"/>
      <c r="D42" s="128"/>
      <c r="E42" s="129"/>
      <c r="F42" s="130"/>
      <c r="G42" s="130"/>
      <c r="H42" s="131"/>
      <c r="I42" s="131"/>
      <c r="J42" s="132"/>
      <c r="K42" s="133"/>
      <c r="L42" s="43"/>
      <c r="M42" s="9">
        <f t="shared" ref="M42:M56" si="13">SUM(K42*0.0765)</f>
        <v>0</v>
      </c>
    </row>
    <row r="43" spans="1:13" ht="18.75" x14ac:dyDescent="0.3">
      <c r="A43" s="144" t="s">
        <v>14</v>
      </c>
      <c r="B43" s="127"/>
      <c r="C43" s="127"/>
      <c r="D43" s="128"/>
      <c r="E43" s="129"/>
      <c r="F43" s="130"/>
      <c r="G43" s="130"/>
      <c r="H43" s="153"/>
      <c r="I43" s="154"/>
      <c r="J43" s="155" t="s">
        <v>206</v>
      </c>
      <c r="K43" s="133"/>
      <c r="L43" s="43"/>
      <c r="M43" s="9">
        <f t="shared" si="13"/>
        <v>0</v>
      </c>
    </row>
    <row r="44" spans="1:13" ht="18.75" x14ac:dyDescent="0.3">
      <c r="A44" s="156"/>
      <c r="B44" s="127"/>
      <c r="C44" s="127"/>
      <c r="D44" s="128"/>
      <c r="E44" s="129"/>
      <c r="F44" s="130"/>
      <c r="G44" s="130"/>
      <c r="H44" s="154"/>
      <c r="I44" s="154"/>
      <c r="J44" s="157"/>
      <c r="K44" s="158"/>
      <c r="L44" s="43"/>
    </row>
    <row r="45" spans="1:13" ht="18.75" x14ac:dyDescent="0.3">
      <c r="A45" s="127" t="s">
        <v>15</v>
      </c>
      <c r="B45" s="127" t="s">
        <v>39</v>
      </c>
      <c r="C45" s="127" t="s">
        <v>174</v>
      </c>
      <c r="D45" s="128">
        <v>30.9</v>
      </c>
      <c r="E45" s="129">
        <v>64272</v>
      </c>
      <c r="F45" s="130">
        <f t="shared" ref="F45:F52" si="14">SUM(G45/26/80)</f>
        <v>31.209000000000003</v>
      </c>
      <c r="G45" s="130">
        <f t="shared" ref="G45" si="15">SUM(E45*0.01)+E45</f>
        <v>64914.720000000001</v>
      </c>
      <c r="H45" s="131">
        <f t="shared" ref="H45:H52" si="16">SUM(I45/26/80)</f>
        <v>31.518000000000001</v>
      </c>
      <c r="I45" s="131">
        <f t="shared" ref="I45" si="17">SUM(E45*0.02)+E45</f>
        <v>65557.440000000002</v>
      </c>
      <c r="J45" s="132">
        <f t="shared" ref="J45:J52" si="18">SUM(K45/26/80)</f>
        <v>31.518000000000001</v>
      </c>
      <c r="K45" s="133">
        <f>SUM(E45*0.02)+E45</f>
        <v>65557.440000000002</v>
      </c>
      <c r="L45" s="126">
        <v>0.02</v>
      </c>
      <c r="M45" s="9">
        <f t="shared" si="13"/>
        <v>5015.1441599999998</v>
      </c>
    </row>
    <row r="46" spans="1:13" ht="18.75" x14ac:dyDescent="0.3">
      <c r="A46" s="127" t="s">
        <v>107</v>
      </c>
      <c r="B46" s="127" t="s">
        <v>143</v>
      </c>
      <c r="C46" s="127" t="s">
        <v>175</v>
      </c>
      <c r="D46" s="128">
        <v>19.57</v>
      </c>
      <c r="E46" s="129">
        <v>40705.599999999999</v>
      </c>
      <c r="F46" s="130">
        <f t="shared" si="14"/>
        <v>19.765699999999999</v>
      </c>
      <c r="G46" s="130">
        <f t="shared" ref="G46:G52" si="19">SUM(E46*0.01)+E46</f>
        <v>41112.655999999995</v>
      </c>
      <c r="H46" s="131">
        <f t="shared" si="16"/>
        <v>19.961400000000001</v>
      </c>
      <c r="I46" s="131">
        <f t="shared" ref="I46:I52" si="20">SUM(E46*0.02)+E46</f>
        <v>41519.712</v>
      </c>
      <c r="J46" s="132">
        <f t="shared" si="18"/>
        <v>20.157099999999996</v>
      </c>
      <c r="K46" s="133">
        <f t="shared" ref="K46:K52" si="21">SUM(E46*0.03)+E46</f>
        <v>41926.767999999996</v>
      </c>
      <c r="L46" s="126">
        <v>0.03</v>
      </c>
      <c r="M46" s="9">
        <f t="shared" ref="M46:M52" si="22">SUM(K46*0.0765)</f>
        <v>3207.3977519999999</v>
      </c>
    </row>
    <row r="47" spans="1:13" ht="18.75" x14ac:dyDescent="0.3">
      <c r="A47" s="127" t="s">
        <v>79</v>
      </c>
      <c r="B47" s="127" t="s">
        <v>38</v>
      </c>
      <c r="C47" s="127" t="s">
        <v>175</v>
      </c>
      <c r="D47" s="128">
        <v>23.9681</v>
      </c>
      <c r="E47" s="129">
        <v>49853.648000000001</v>
      </c>
      <c r="F47" s="130">
        <f t="shared" si="14"/>
        <v>24.207781000000004</v>
      </c>
      <c r="G47" s="130">
        <f t="shared" si="19"/>
        <v>50352.184480000004</v>
      </c>
      <c r="H47" s="131">
        <f t="shared" si="16"/>
        <v>24.447461999999998</v>
      </c>
      <c r="I47" s="131">
        <f t="shared" si="20"/>
        <v>50850.720959999999</v>
      </c>
      <c r="J47" s="132">
        <f t="shared" si="18"/>
        <v>24.207781000000004</v>
      </c>
      <c r="K47" s="133">
        <f>SUM(E47*0.01)+E47</f>
        <v>50352.184480000004</v>
      </c>
      <c r="L47" s="126">
        <v>0.01</v>
      </c>
      <c r="M47" s="9">
        <f t="shared" si="22"/>
        <v>3851.9421127200003</v>
      </c>
    </row>
    <row r="48" spans="1:13" ht="18.75" x14ac:dyDescent="0.3">
      <c r="A48" s="127" t="s">
        <v>17</v>
      </c>
      <c r="B48" s="127" t="s">
        <v>38</v>
      </c>
      <c r="C48" s="127" t="s">
        <v>175</v>
      </c>
      <c r="D48" s="128">
        <v>25.2453</v>
      </c>
      <c r="E48" s="129">
        <v>52510.224000000002</v>
      </c>
      <c r="F48" s="130">
        <f t="shared" si="14"/>
        <v>25.497752999999999</v>
      </c>
      <c r="G48" s="130">
        <f t="shared" si="19"/>
        <v>53035.326240000002</v>
      </c>
      <c r="H48" s="131">
        <f t="shared" si="16"/>
        <v>25.750206000000002</v>
      </c>
      <c r="I48" s="131">
        <f t="shared" si="20"/>
        <v>53560.428480000002</v>
      </c>
      <c r="J48" s="132">
        <f t="shared" si="18"/>
        <v>26.002659000000001</v>
      </c>
      <c r="K48" s="133">
        <f t="shared" si="21"/>
        <v>54085.530720000002</v>
      </c>
      <c r="L48" s="126">
        <v>0.03</v>
      </c>
      <c r="M48" s="9">
        <f t="shared" si="22"/>
        <v>4137.5431000799999</v>
      </c>
    </row>
    <row r="49" spans="1:13" ht="18.75" x14ac:dyDescent="0.3">
      <c r="A49" s="127" t="s">
        <v>85</v>
      </c>
      <c r="B49" s="127" t="s">
        <v>38</v>
      </c>
      <c r="C49" s="127" t="s">
        <v>175</v>
      </c>
      <c r="D49" s="128">
        <v>22.660000000000004</v>
      </c>
      <c r="E49" s="128">
        <v>47132.800000000003</v>
      </c>
      <c r="F49" s="130">
        <f t="shared" si="14"/>
        <v>22.886600000000001</v>
      </c>
      <c r="G49" s="130">
        <f t="shared" si="19"/>
        <v>47604.128000000004</v>
      </c>
      <c r="H49" s="131">
        <f t="shared" si="16"/>
        <v>23.113200000000003</v>
      </c>
      <c r="I49" s="131">
        <f t="shared" si="20"/>
        <v>48075.456000000006</v>
      </c>
      <c r="J49" s="132">
        <f t="shared" si="18"/>
        <v>23.3398</v>
      </c>
      <c r="K49" s="133">
        <f>SUM(E49*0.03)+E49</f>
        <v>48546.784</v>
      </c>
      <c r="L49" s="126">
        <v>0.03</v>
      </c>
      <c r="M49" s="9">
        <f t="shared" si="22"/>
        <v>3713.8289759999998</v>
      </c>
    </row>
    <row r="50" spans="1:13" ht="18.75" x14ac:dyDescent="0.3">
      <c r="A50" s="127" t="s">
        <v>20</v>
      </c>
      <c r="B50" s="127" t="s">
        <v>144</v>
      </c>
      <c r="C50" s="127" t="s">
        <v>175</v>
      </c>
      <c r="D50" s="128">
        <v>27.748100961538462</v>
      </c>
      <c r="E50" s="129">
        <v>57716.05</v>
      </c>
      <c r="F50" s="130">
        <f t="shared" si="14"/>
        <v>28.025581971153848</v>
      </c>
      <c r="G50" s="130">
        <f t="shared" si="19"/>
        <v>58293.210500000001</v>
      </c>
      <c r="H50" s="131">
        <f t="shared" si="16"/>
        <v>28.303062980769234</v>
      </c>
      <c r="I50" s="131">
        <f t="shared" si="20"/>
        <v>58870.371000000006</v>
      </c>
      <c r="J50" s="132">
        <f t="shared" si="18"/>
        <v>27.748100961538462</v>
      </c>
      <c r="K50" s="133">
        <f>SUM(E50*0)+E50</f>
        <v>57716.05</v>
      </c>
      <c r="L50" s="126">
        <v>0</v>
      </c>
      <c r="M50" s="9">
        <f t="shared" si="22"/>
        <v>4415.2778250000001</v>
      </c>
    </row>
    <row r="51" spans="1:13" ht="18.75" x14ac:dyDescent="0.3">
      <c r="A51" s="127" t="s">
        <v>16</v>
      </c>
      <c r="B51" s="127" t="s">
        <v>40</v>
      </c>
      <c r="C51" s="127" t="s">
        <v>175</v>
      </c>
      <c r="D51" s="128">
        <v>27.758499999999998</v>
      </c>
      <c r="E51" s="129">
        <v>57737.68</v>
      </c>
      <c r="F51" s="130">
        <f t="shared" si="14"/>
        <v>28.036084999999996</v>
      </c>
      <c r="G51" s="130">
        <f t="shared" si="19"/>
        <v>58315.056799999998</v>
      </c>
      <c r="H51" s="131">
        <f t="shared" si="16"/>
        <v>28.313670000000002</v>
      </c>
      <c r="I51" s="131">
        <f t="shared" si="20"/>
        <v>58892.433600000004</v>
      </c>
      <c r="J51" s="132">
        <f t="shared" si="18"/>
        <v>28.591255</v>
      </c>
      <c r="K51" s="133">
        <f t="shared" si="21"/>
        <v>59469.810400000002</v>
      </c>
      <c r="L51" s="126">
        <v>0.03</v>
      </c>
      <c r="M51" s="9">
        <f t="shared" si="22"/>
        <v>4549.4404955999998</v>
      </c>
    </row>
    <row r="52" spans="1:13" ht="18.75" x14ac:dyDescent="0.3">
      <c r="A52" s="127" t="s">
        <v>18</v>
      </c>
      <c r="B52" s="127" t="s">
        <v>38</v>
      </c>
      <c r="C52" s="127" t="s">
        <v>175</v>
      </c>
      <c r="D52" s="128">
        <v>28.613400000000002</v>
      </c>
      <c r="E52" s="129">
        <v>59515.872000000003</v>
      </c>
      <c r="F52" s="130">
        <f t="shared" si="14"/>
        <v>28.899533999999999</v>
      </c>
      <c r="G52" s="130">
        <f t="shared" si="19"/>
        <v>60111.030720000002</v>
      </c>
      <c r="H52" s="131">
        <f t="shared" si="16"/>
        <v>29.185668</v>
      </c>
      <c r="I52" s="131">
        <f t="shared" si="20"/>
        <v>60706.189440000002</v>
      </c>
      <c r="J52" s="132">
        <f t="shared" si="18"/>
        <v>29.471802000000004</v>
      </c>
      <c r="K52" s="133">
        <f t="shared" si="21"/>
        <v>61301.348160000001</v>
      </c>
      <c r="L52" s="126">
        <v>0.03</v>
      </c>
      <c r="M52" s="9">
        <f t="shared" si="22"/>
        <v>4689.55313424</v>
      </c>
    </row>
    <row r="53" spans="1:13" ht="18.75" x14ac:dyDescent="0.3">
      <c r="A53" s="159" t="s">
        <v>150</v>
      </c>
      <c r="B53" s="148"/>
      <c r="C53" s="148"/>
      <c r="D53" s="160"/>
      <c r="E53" s="161">
        <f>SUM(E45:E52)</f>
        <v>429443.87399999995</v>
      </c>
      <c r="F53" s="162">
        <f t="shared" ref="F53" si="23">SUM(G53/26/80)</f>
        <v>208.52803497115383</v>
      </c>
      <c r="G53" s="162">
        <f>SUM(G45:G52)</f>
        <v>433738.31273999996</v>
      </c>
      <c r="H53" s="163"/>
      <c r="I53" s="164">
        <f>SUM(I45:I52)</f>
        <v>438032.75147999998</v>
      </c>
      <c r="J53" s="165"/>
      <c r="K53" s="166">
        <f>SUM(K45:K52)</f>
        <v>438955.91576</v>
      </c>
      <c r="L53" s="43"/>
      <c r="M53" s="35">
        <f t="shared" si="13"/>
        <v>33580.12755564</v>
      </c>
    </row>
    <row r="54" spans="1:13" x14ac:dyDescent="0.25">
      <c r="A54" s="95"/>
      <c r="B54" s="95"/>
      <c r="C54" s="95"/>
      <c r="D54" s="96"/>
      <c r="E54" s="97"/>
      <c r="F54" s="121"/>
      <c r="G54" s="121"/>
      <c r="H54" s="98"/>
      <c r="I54" s="98"/>
      <c r="J54" s="99"/>
      <c r="K54" s="100"/>
      <c r="M54" s="9"/>
    </row>
    <row r="55" spans="1:13" x14ac:dyDescent="0.25">
      <c r="A55" s="95"/>
      <c r="B55" s="95"/>
      <c r="C55" s="95"/>
      <c r="D55" s="96"/>
      <c r="E55" s="97"/>
      <c r="F55" s="121"/>
      <c r="G55" s="121"/>
      <c r="H55" s="98"/>
      <c r="I55" s="98"/>
      <c r="J55" s="99"/>
      <c r="K55" s="100"/>
      <c r="M55" s="9"/>
    </row>
    <row r="56" spans="1:13" x14ac:dyDescent="0.25">
      <c r="E56" s="81">
        <f>SUM(E32,E40,E53)</f>
        <v>1104826.3319511898</v>
      </c>
      <c r="G56" s="81">
        <f>SUM(G32,G40,G53)</f>
        <v>1104684.1422451481</v>
      </c>
      <c r="I56" s="81">
        <f>SUM(I32,I40,I53)</f>
        <v>1125390.682956486</v>
      </c>
      <c r="K56" s="81">
        <f>SUM(K32,K40,K53)</f>
        <v>1120612.0270078243</v>
      </c>
      <c r="M56" s="9">
        <f t="shared" si="13"/>
        <v>85726.82006609856</v>
      </c>
    </row>
    <row r="58" spans="1:13" x14ac:dyDescent="0.25">
      <c r="A58" t="s">
        <v>100</v>
      </c>
      <c r="G58" s="81">
        <f>SUM(G56-E56)</f>
        <v>-142.18970604171045</v>
      </c>
      <c r="I58" s="85">
        <f>SUM(I56-E56)</f>
        <v>20564.351005296223</v>
      </c>
      <c r="J58" s="85"/>
      <c r="K58" s="72">
        <f>SUM(K56-E56)</f>
        <v>15785.695056634489</v>
      </c>
    </row>
    <row r="59" spans="1:13" x14ac:dyDescent="0.25">
      <c r="G59" s="81" t="s">
        <v>146</v>
      </c>
    </row>
    <row r="60" spans="1:13" x14ac:dyDescent="0.25">
      <c r="G60" s="72"/>
      <c r="I60" s="72"/>
    </row>
    <row r="61" spans="1:13" x14ac:dyDescent="0.25">
      <c r="G61" s="72"/>
      <c r="I61" s="72"/>
    </row>
  </sheetData>
  <sortState xmlns:xlrd2="http://schemas.microsoft.com/office/spreadsheetml/2017/richdata2" ref="A35:M39">
    <sortCondition ref="C35:C39"/>
  </sortState>
  <pageMargins left="0.25" right="0.25" top="0.75" bottom="0.75" header="0.3" footer="0.3"/>
  <pageSetup scale="49" fitToWidth="0" orientation="landscape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M54"/>
  <sheetViews>
    <sheetView topLeftCell="A22" workbookViewId="0">
      <selection activeCell="I12" sqref="I12"/>
    </sheetView>
  </sheetViews>
  <sheetFormatPr defaultRowHeight="15" x14ac:dyDescent="0.25"/>
  <cols>
    <col min="1" max="1" width="38.7109375" customWidth="1"/>
    <col min="2" max="2" width="20" bestFit="1" customWidth="1"/>
    <col min="3" max="3" width="17.85546875" style="86" customWidth="1"/>
    <col min="4" max="5" width="18.140625" style="81" customWidth="1"/>
    <col min="6" max="6" width="14.42578125" style="81" customWidth="1"/>
    <col min="7" max="7" width="17.5703125" customWidth="1"/>
    <col min="8" max="8" width="15.7109375" customWidth="1"/>
    <col min="9" max="9" width="11.5703125" bestFit="1" customWidth="1"/>
    <col min="11" max="11" width="11.5703125" bestFit="1" customWidth="1"/>
    <col min="12" max="12" width="12" customWidth="1"/>
  </cols>
  <sheetData>
    <row r="1" spans="1:13" ht="18.75" x14ac:dyDescent="0.25">
      <c r="A1" s="1" t="s">
        <v>142</v>
      </c>
    </row>
    <row r="2" spans="1:13" ht="18.75" x14ac:dyDescent="0.3">
      <c r="A2" s="2" t="s">
        <v>41</v>
      </c>
    </row>
    <row r="3" spans="1:13" ht="18.75" x14ac:dyDescent="0.3">
      <c r="A3" s="2" t="s">
        <v>81</v>
      </c>
    </row>
    <row r="5" spans="1:13" x14ac:dyDescent="0.25">
      <c r="A5" s="3" t="s">
        <v>0</v>
      </c>
      <c r="B5" s="3" t="s">
        <v>21</v>
      </c>
      <c r="C5" s="3" t="s">
        <v>177</v>
      </c>
      <c r="D5" s="41">
        <v>2021</v>
      </c>
      <c r="E5" s="82" t="s">
        <v>213</v>
      </c>
      <c r="F5" s="89">
        <v>2022</v>
      </c>
      <c r="G5" s="89">
        <v>2022</v>
      </c>
      <c r="I5" s="3"/>
    </row>
    <row r="6" spans="1:13" x14ac:dyDescent="0.25">
      <c r="A6" s="4" t="s">
        <v>92</v>
      </c>
      <c r="C6"/>
      <c r="D6" s="80" t="s">
        <v>139</v>
      </c>
      <c r="E6" s="82"/>
      <c r="F6" s="90" t="s">
        <v>139</v>
      </c>
      <c r="G6" s="90" t="s">
        <v>181</v>
      </c>
      <c r="I6" s="79"/>
      <c r="L6" s="79"/>
    </row>
    <row r="7" spans="1:13" x14ac:dyDescent="0.25">
      <c r="A7" s="25" t="s">
        <v>186</v>
      </c>
      <c r="B7" s="25" t="s">
        <v>24</v>
      </c>
      <c r="C7" s="25" t="s">
        <v>151</v>
      </c>
      <c r="D7" s="84"/>
      <c r="E7" s="91">
        <v>4777.1400000000003</v>
      </c>
      <c r="F7" s="92"/>
      <c r="G7" s="91"/>
      <c r="I7" s="9"/>
      <c r="J7" s="9"/>
      <c r="L7" s="9"/>
      <c r="M7" s="9"/>
    </row>
    <row r="8" spans="1:13" x14ac:dyDescent="0.25">
      <c r="A8" s="25" t="s">
        <v>3</v>
      </c>
      <c r="B8" s="25" t="s">
        <v>24</v>
      </c>
      <c r="C8" s="25" t="s">
        <v>151</v>
      </c>
      <c r="D8" s="84"/>
      <c r="E8" s="91">
        <v>4777.1400000000003</v>
      </c>
      <c r="F8" s="92"/>
      <c r="G8" s="91">
        <v>4777.1400000000003</v>
      </c>
      <c r="I8" s="9"/>
    </row>
    <row r="9" spans="1:13" x14ac:dyDescent="0.25">
      <c r="A9" s="25" t="s">
        <v>62</v>
      </c>
      <c r="B9" s="25" t="s">
        <v>24</v>
      </c>
      <c r="C9" s="25" t="s">
        <v>151</v>
      </c>
      <c r="D9" s="84"/>
      <c r="E9" s="91">
        <v>4777.1400000000003</v>
      </c>
      <c r="F9" s="92"/>
      <c r="G9" s="91">
        <v>4777.1400000000003</v>
      </c>
      <c r="I9" s="9"/>
    </row>
    <row r="10" spans="1:13" x14ac:dyDescent="0.25">
      <c r="A10" s="25" t="s">
        <v>2</v>
      </c>
      <c r="B10" s="25" t="s">
        <v>23</v>
      </c>
      <c r="C10" s="25" t="s">
        <v>151</v>
      </c>
      <c r="D10" s="84"/>
      <c r="E10" s="91">
        <v>5971.94</v>
      </c>
      <c r="F10" s="92"/>
      <c r="G10" s="91">
        <v>5971.94</v>
      </c>
      <c r="I10" s="9"/>
    </row>
    <row r="11" spans="1:13" x14ac:dyDescent="0.25">
      <c r="A11" s="25" t="s">
        <v>6</v>
      </c>
      <c r="B11" s="25" t="s">
        <v>26</v>
      </c>
      <c r="C11" s="25" t="s">
        <v>156</v>
      </c>
      <c r="D11" s="84"/>
      <c r="E11" s="91">
        <v>16914.14639668</v>
      </c>
      <c r="F11" s="92"/>
      <c r="G11" s="91">
        <v>16914.14639668</v>
      </c>
      <c r="I11" s="9"/>
    </row>
    <row r="12" spans="1:13" x14ac:dyDescent="0.25">
      <c r="A12" s="25" t="s">
        <v>7</v>
      </c>
      <c r="B12" s="25" t="s">
        <v>26</v>
      </c>
      <c r="C12" s="25" t="s">
        <v>156</v>
      </c>
      <c r="D12" s="84"/>
      <c r="E12" s="91">
        <v>16914.14639668</v>
      </c>
      <c r="F12" s="92"/>
      <c r="G12" s="91">
        <v>16914.14639668</v>
      </c>
      <c r="I12" s="9"/>
    </row>
    <row r="13" spans="1:13" x14ac:dyDescent="0.25">
      <c r="A13" s="25" t="s">
        <v>89</v>
      </c>
      <c r="B13" s="25" t="s">
        <v>34</v>
      </c>
      <c r="C13" s="25" t="s">
        <v>160</v>
      </c>
      <c r="D13" s="92">
        <v>19.12982905982906</v>
      </c>
      <c r="E13" s="91">
        <v>17905.52</v>
      </c>
      <c r="F13" s="92">
        <v>19.12982905982906</v>
      </c>
      <c r="G13" s="91">
        <v>17905.52</v>
      </c>
      <c r="I13" s="9"/>
    </row>
    <row r="14" spans="1:13" x14ac:dyDescent="0.25">
      <c r="A14" s="25" t="s">
        <v>1</v>
      </c>
      <c r="B14" s="25" t="s">
        <v>22</v>
      </c>
      <c r="C14" s="25" t="s">
        <v>161</v>
      </c>
      <c r="D14" s="92"/>
      <c r="E14" s="91">
        <v>19107.53</v>
      </c>
      <c r="F14" s="92"/>
      <c r="G14" s="91">
        <v>19107.53</v>
      </c>
      <c r="I14" s="9"/>
    </row>
    <row r="15" spans="1:13" x14ac:dyDescent="0.25">
      <c r="A15" s="25" t="s">
        <v>104</v>
      </c>
      <c r="B15" s="25" t="s">
        <v>28</v>
      </c>
      <c r="C15" s="25" t="s">
        <v>164</v>
      </c>
      <c r="D15" s="92">
        <v>32.643076923076919</v>
      </c>
      <c r="E15" s="91">
        <v>50923.199999999997</v>
      </c>
      <c r="F15" s="92">
        <v>32.643076923076919</v>
      </c>
      <c r="G15" s="91">
        <v>50923.199999999997</v>
      </c>
      <c r="I15" s="9"/>
    </row>
    <row r="16" spans="1:13" x14ac:dyDescent="0.25">
      <c r="A16" s="25" t="s">
        <v>140</v>
      </c>
      <c r="B16" s="25" t="s">
        <v>31</v>
      </c>
      <c r="C16" s="25" t="s">
        <v>163</v>
      </c>
      <c r="D16" s="92">
        <v>31.930000000000003</v>
      </c>
      <c r="E16" s="91">
        <v>49810.8</v>
      </c>
      <c r="F16" s="92">
        <v>31.930000000000003</v>
      </c>
      <c r="G16" s="91">
        <v>49810.8</v>
      </c>
      <c r="I16" s="9"/>
    </row>
    <row r="17" spans="1:9" x14ac:dyDescent="0.25">
      <c r="A17" s="25" t="s">
        <v>187</v>
      </c>
      <c r="B17" s="25" t="s">
        <v>32</v>
      </c>
      <c r="C17" s="25" t="s">
        <v>162</v>
      </c>
      <c r="D17" s="92">
        <v>17.75</v>
      </c>
      <c r="E17" s="91">
        <v>13845</v>
      </c>
      <c r="F17" s="92">
        <v>17.75</v>
      </c>
      <c r="G17" s="91">
        <v>13845</v>
      </c>
      <c r="I17" s="9"/>
    </row>
    <row r="18" spans="1:9" x14ac:dyDescent="0.25">
      <c r="A18" s="25" t="s">
        <v>188</v>
      </c>
      <c r="B18" s="25" t="s">
        <v>32</v>
      </c>
      <c r="C18" s="25" t="s">
        <v>167</v>
      </c>
      <c r="D18" s="92">
        <v>17.75</v>
      </c>
      <c r="E18" s="91">
        <v>13845</v>
      </c>
      <c r="F18" s="92">
        <v>17.75</v>
      </c>
      <c r="G18" s="91">
        <v>13845</v>
      </c>
      <c r="I18" s="9"/>
    </row>
    <row r="19" spans="1:9" x14ac:dyDescent="0.25">
      <c r="A19" s="25" t="s">
        <v>4</v>
      </c>
      <c r="B19" s="25" t="s">
        <v>25</v>
      </c>
      <c r="C19" s="25" t="s">
        <v>165</v>
      </c>
      <c r="D19" s="92"/>
      <c r="E19" s="91">
        <v>65649.11</v>
      </c>
      <c r="F19" s="92"/>
      <c r="G19" s="91">
        <v>65649.11</v>
      </c>
      <c r="I19" s="9"/>
    </row>
    <row r="20" spans="1:9" x14ac:dyDescent="0.25">
      <c r="A20" s="25" t="s">
        <v>84</v>
      </c>
      <c r="B20" s="25" t="s">
        <v>27</v>
      </c>
      <c r="C20" s="25" t="s">
        <v>166</v>
      </c>
      <c r="D20" s="92">
        <v>26.410256410256409</v>
      </c>
      <c r="E20" s="91">
        <v>41200</v>
      </c>
      <c r="F20" s="92">
        <v>26.410256410256409</v>
      </c>
      <c r="G20" s="91">
        <v>41200</v>
      </c>
      <c r="I20" s="9"/>
    </row>
    <row r="21" spans="1:9" x14ac:dyDescent="0.25">
      <c r="A21" s="25" t="s">
        <v>183</v>
      </c>
      <c r="B21" s="25" t="s">
        <v>87</v>
      </c>
      <c r="C21" s="25" t="s">
        <v>168</v>
      </c>
      <c r="D21" s="92">
        <v>12.5</v>
      </c>
      <c r="E21" s="91">
        <v>12.5</v>
      </c>
      <c r="F21" s="92">
        <v>13.2</v>
      </c>
      <c r="G21" s="91">
        <v>12.5</v>
      </c>
      <c r="I21" s="9"/>
    </row>
    <row r="22" spans="1:9" x14ac:dyDescent="0.25">
      <c r="A22" s="25" t="s">
        <v>67</v>
      </c>
      <c r="B22" s="25" t="s">
        <v>68</v>
      </c>
      <c r="C22" s="25" t="s">
        <v>155</v>
      </c>
      <c r="D22" s="92">
        <v>13.71</v>
      </c>
      <c r="E22" s="91">
        <v>5346.9</v>
      </c>
      <c r="F22" s="92">
        <v>13.71</v>
      </c>
      <c r="G22" s="91">
        <v>5346.9</v>
      </c>
      <c r="I22" s="9"/>
    </row>
    <row r="23" spans="1:9" x14ac:dyDescent="0.25">
      <c r="A23" s="25" t="s">
        <v>9</v>
      </c>
      <c r="B23" s="25" t="s">
        <v>33</v>
      </c>
      <c r="C23" s="25" t="s">
        <v>152</v>
      </c>
      <c r="D23" s="92"/>
      <c r="E23" s="91">
        <v>11464.93</v>
      </c>
      <c r="F23" s="92"/>
      <c r="G23" s="91">
        <v>11464.93</v>
      </c>
      <c r="I23" s="9"/>
    </row>
    <row r="24" spans="1:9" x14ac:dyDescent="0.25">
      <c r="A24" s="25" t="s">
        <v>5</v>
      </c>
      <c r="B24" s="25" t="s">
        <v>82</v>
      </c>
      <c r="C24" s="25" t="s">
        <v>159</v>
      </c>
      <c r="D24" s="92"/>
      <c r="E24" s="91">
        <v>65649.11</v>
      </c>
      <c r="F24" s="92"/>
      <c r="G24" s="91">
        <v>65649.11</v>
      </c>
      <c r="I24" s="9"/>
    </row>
    <row r="25" spans="1:9" x14ac:dyDescent="0.25">
      <c r="A25" s="25" t="s">
        <v>8</v>
      </c>
      <c r="B25" s="25" t="s">
        <v>29</v>
      </c>
      <c r="C25" s="25" t="s">
        <v>153</v>
      </c>
      <c r="D25" s="92">
        <v>27.8679375</v>
      </c>
      <c r="E25" s="91">
        <v>57965.31</v>
      </c>
      <c r="F25" s="92">
        <v>27.8679375</v>
      </c>
      <c r="G25" s="91">
        <v>57965.31</v>
      </c>
      <c r="I25" s="9"/>
    </row>
    <row r="26" spans="1:9" x14ac:dyDescent="0.25">
      <c r="A26" s="25" t="s">
        <v>179</v>
      </c>
      <c r="B26" s="25" t="s">
        <v>30</v>
      </c>
      <c r="C26" s="25" t="s">
        <v>154</v>
      </c>
      <c r="D26" s="92">
        <v>18</v>
      </c>
      <c r="E26" s="91">
        <v>37440</v>
      </c>
      <c r="F26" s="92">
        <v>18</v>
      </c>
      <c r="G26" s="91">
        <v>37440</v>
      </c>
      <c r="I26" s="9"/>
    </row>
    <row r="27" spans="1:9" x14ac:dyDescent="0.25">
      <c r="A27" s="25" t="s">
        <v>106</v>
      </c>
      <c r="B27" s="25" t="s">
        <v>35</v>
      </c>
      <c r="C27" s="25" t="s">
        <v>169</v>
      </c>
      <c r="D27" s="92">
        <v>18.0044</v>
      </c>
      <c r="E27" s="91">
        <v>18320.61</v>
      </c>
      <c r="F27" s="92">
        <v>18.0044</v>
      </c>
      <c r="G27" s="91">
        <v>18320.61</v>
      </c>
      <c r="I27" s="9"/>
    </row>
    <row r="28" spans="1:9" x14ac:dyDescent="0.25">
      <c r="A28" s="25" t="s">
        <v>12</v>
      </c>
      <c r="B28" s="25" t="s">
        <v>83</v>
      </c>
      <c r="C28" s="25" t="s">
        <v>157</v>
      </c>
      <c r="D28" s="92">
        <v>20.095729166666668</v>
      </c>
      <c r="E28" s="91">
        <v>25079.47</v>
      </c>
      <c r="F28" s="92">
        <v>20.095729166666668</v>
      </c>
      <c r="G28" s="91">
        <v>25079.47</v>
      </c>
      <c r="I28" s="9"/>
    </row>
    <row r="29" spans="1:9" x14ac:dyDescent="0.25">
      <c r="A29" s="25" t="s">
        <v>13</v>
      </c>
      <c r="B29" s="25" t="s">
        <v>83</v>
      </c>
      <c r="C29" s="25" t="s">
        <v>157</v>
      </c>
      <c r="D29" s="92">
        <v>20.095729166666668</v>
      </c>
      <c r="E29" s="91">
        <v>25079.47</v>
      </c>
      <c r="F29" s="92">
        <v>20.095729166666668</v>
      </c>
      <c r="G29" s="91">
        <v>25079.47</v>
      </c>
      <c r="I29" s="9"/>
    </row>
    <row r="30" spans="1:9" x14ac:dyDescent="0.25">
      <c r="A30" s="25" t="s">
        <v>182</v>
      </c>
      <c r="B30" s="25" t="s">
        <v>83</v>
      </c>
      <c r="C30" s="25" t="s">
        <v>158</v>
      </c>
      <c r="D30" s="92">
        <v>20.100000000000001</v>
      </c>
      <c r="E30" s="91">
        <v>20.095300000000002</v>
      </c>
      <c r="F30" s="92">
        <v>20.100000000000001</v>
      </c>
      <c r="G30" s="91">
        <v>20.095300000000002</v>
      </c>
      <c r="I30" s="9"/>
    </row>
    <row r="31" spans="1:9" x14ac:dyDescent="0.25">
      <c r="A31" s="12" t="s">
        <v>148</v>
      </c>
      <c r="B31" s="25"/>
      <c r="C31" s="25"/>
      <c r="D31" s="84"/>
      <c r="E31" s="101">
        <f>SUM(E7:E30)</f>
        <v>572796.20809335995</v>
      </c>
      <c r="F31" s="92"/>
      <c r="G31" s="102">
        <v>572796.20809335995</v>
      </c>
      <c r="I31" s="9"/>
    </row>
    <row r="32" spans="1:9" x14ac:dyDescent="0.25">
      <c r="A32" s="25"/>
      <c r="B32" s="25"/>
      <c r="C32" s="25"/>
      <c r="D32" s="84"/>
      <c r="E32" s="83"/>
      <c r="F32" s="92"/>
      <c r="G32" s="91"/>
      <c r="I32" s="9"/>
    </row>
    <row r="33" spans="1:9" x14ac:dyDescent="0.25">
      <c r="A33" s="12" t="s">
        <v>93</v>
      </c>
      <c r="B33" s="25"/>
      <c r="C33" s="25"/>
      <c r="D33" s="84"/>
      <c r="E33" s="83"/>
      <c r="F33" s="92"/>
      <c r="G33" s="91"/>
      <c r="I33" s="9"/>
    </row>
    <row r="34" spans="1:9" x14ac:dyDescent="0.25">
      <c r="A34" s="25" t="s">
        <v>10</v>
      </c>
      <c r="B34" s="25" t="s">
        <v>36</v>
      </c>
      <c r="C34" s="25" t="s">
        <v>173</v>
      </c>
      <c r="D34" s="84"/>
      <c r="E34" s="83">
        <v>3822.359046</v>
      </c>
      <c r="F34" s="92"/>
      <c r="G34" s="91">
        <v>3937.0298173800002</v>
      </c>
      <c r="I34" s="9"/>
    </row>
    <row r="35" spans="1:9" x14ac:dyDescent="0.25">
      <c r="A35" s="25" t="s">
        <v>11</v>
      </c>
      <c r="B35" s="95" t="s">
        <v>37</v>
      </c>
      <c r="C35" s="95" t="s">
        <v>173</v>
      </c>
      <c r="D35" s="84"/>
      <c r="E35" s="83">
        <v>2671.7175149999998</v>
      </c>
      <c r="F35" s="92"/>
      <c r="G35" s="91">
        <v>2751.8690404499998</v>
      </c>
      <c r="I35" s="9"/>
    </row>
    <row r="36" spans="1:9" x14ac:dyDescent="0.25">
      <c r="A36" s="25" t="s">
        <v>189</v>
      </c>
      <c r="B36" s="25" t="s">
        <v>190</v>
      </c>
      <c r="C36" s="25" t="s">
        <v>171</v>
      </c>
      <c r="D36" s="84">
        <v>27.41</v>
      </c>
      <c r="E36" s="83">
        <v>19890</v>
      </c>
      <c r="F36" s="92">
        <v>26.27</v>
      </c>
      <c r="G36" s="106">
        <v>34151</v>
      </c>
      <c r="I36" s="9"/>
    </row>
    <row r="37" spans="1:9" x14ac:dyDescent="0.25">
      <c r="A37" s="25" t="s">
        <v>185</v>
      </c>
      <c r="B37" s="25" t="s">
        <v>105</v>
      </c>
      <c r="C37" s="25" t="s">
        <v>170</v>
      </c>
      <c r="D37" s="84">
        <v>19.29</v>
      </c>
      <c r="E37" s="83">
        <v>20062</v>
      </c>
      <c r="F37" s="92">
        <v>20.07</v>
      </c>
      <c r="G37" s="91">
        <v>31309.200000000001</v>
      </c>
      <c r="H37" t="s">
        <v>184</v>
      </c>
      <c r="I37" s="9"/>
    </row>
    <row r="38" spans="1:9" x14ac:dyDescent="0.25">
      <c r="A38" s="25" t="s">
        <v>191</v>
      </c>
      <c r="B38" s="25" t="s">
        <v>80</v>
      </c>
      <c r="C38" s="25" t="s">
        <v>172</v>
      </c>
      <c r="D38" s="84">
        <v>21.7</v>
      </c>
      <c r="E38" s="83">
        <v>21.7</v>
      </c>
      <c r="F38" s="92">
        <v>22.13</v>
      </c>
      <c r="G38" s="91">
        <v>22.350999999999999</v>
      </c>
      <c r="I38" s="9"/>
    </row>
    <row r="39" spans="1:9" x14ac:dyDescent="0.25">
      <c r="A39" s="12" t="s">
        <v>149</v>
      </c>
      <c r="B39" s="25"/>
      <c r="C39" s="25"/>
      <c r="D39" s="84"/>
      <c r="E39" s="101">
        <f>SUM(E34:E38)</f>
        <v>46467.776560999999</v>
      </c>
      <c r="F39" s="92"/>
      <c r="G39" s="102">
        <v>102586.24985783</v>
      </c>
      <c r="I39" s="9"/>
    </row>
    <row r="40" spans="1:9" x14ac:dyDescent="0.25">
      <c r="A40" s="25"/>
      <c r="B40" s="25"/>
      <c r="C40" s="25"/>
      <c r="D40" s="84"/>
      <c r="E40" s="83"/>
      <c r="F40" s="92"/>
      <c r="G40" s="91"/>
      <c r="I40" s="9"/>
    </row>
    <row r="41" spans="1:9" x14ac:dyDescent="0.25">
      <c r="A41" s="25"/>
      <c r="B41" s="25"/>
      <c r="C41" s="25"/>
      <c r="D41" s="84"/>
      <c r="E41" s="83"/>
      <c r="F41" s="92"/>
      <c r="G41" s="91"/>
      <c r="I41" s="9"/>
    </row>
    <row r="42" spans="1:9" x14ac:dyDescent="0.25">
      <c r="A42" s="12" t="s">
        <v>14</v>
      </c>
      <c r="B42" s="25"/>
      <c r="C42" s="25"/>
      <c r="D42" s="84"/>
      <c r="E42" s="83"/>
      <c r="F42" s="92"/>
      <c r="G42" s="91"/>
      <c r="I42" s="9"/>
    </row>
    <row r="43" spans="1:9" x14ac:dyDescent="0.25">
      <c r="A43" s="107" t="s">
        <v>178</v>
      </c>
      <c r="B43" s="25"/>
      <c r="C43" s="25"/>
      <c r="D43" s="84"/>
      <c r="E43" s="83"/>
      <c r="F43" s="92">
        <v>18</v>
      </c>
      <c r="G43" s="91">
        <v>14040</v>
      </c>
      <c r="I43" s="9"/>
    </row>
    <row r="44" spans="1:9" x14ac:dyDescent="0.25">
      <c r="A44" s="25" t="s">
        <v>15</v>
      </c>
      <c r="B44" s="25" t="s">
        <v>39</v>
      </c>
      <c r="C44" s="25" t="s">
        <v>174</v>
      </c>
      <c r="D44" s="84">
        <v>30</v>
      </c>
      <c r="E44" s="83">
        <v>62400</v>
      </c>
      <c r="F44" s="92">
        <v>30.9</v>
      </c>
      <c r="G44" s="91">
        <v>64272</v>
      </c>
      <c r="I44" s="9"/>
    </row>
    <row r="45" spans="1:9" x14ac:dyDescent="0.25">
      <c r="A45" s="25" t="s">
        <v>107</v>
      </c>
      <c r="B45" s="25" t="s">
        <v>143</v>
      </c>
      <c r="C45" s="25" t="s">
        <v>175</v>
      </c>
      <c r="D45" s="84">
        <v>19</v>
      </c>
      <c r="E45" s="83">
        <v>39520</v>
      </c>
      <c r="F45" s="92">
        <v>19.57</v>
      </c>
      <c r="G45" s="91">
        <v>40705.599999999999</v>
      </c>
      <c r="I45" s="9"/>
    </row>
    <row r="46" spans="1:9" x14ac:dyDescent="0.25">
      <c r="A46" s="25" t="s">
        <v>79</v>
      </c>
      <c r="B46" s="25" t="s">
        <v>38</v>
      </c>
      <c r="C46" s="25" t="s">
        <v>175</v>
      </c>
      <c r="D46" s="84">
        <v>23.27</v>
      </c>
      <c r="E46" s="83">
        <v>48401.599999999999</v>
      </c>
      <c r="F46" s="92">
        <v>23.9681</v>
      </c>
      <c r="G46" s="91">
        <v>49853.648000000001</v>
      </c>
    </row>
    <row r="47" spans="1:9" x14ac:dyDescent="0.25">
      <c r="A47" s="25" t="s">
        <v>17</v>
      </c>
      <c r="B47" s="25" t="s">
        <v>38</v>
      </c>
      <c r="C47" s="25" t="s">
        <v>175</v>
      </c>
      <c r="D47" s="84">
        <v>24.51</v>
      </c>
      <c r="E47" s="83">
        <v>50980.800000000003</v>
      </c>
      <c r="F47" s="92">
        <v>25.2453</v>
      </c>
      <c r="G47" s="91">
        <v>52510.224000000002</v>
      </c>
    </row>
    <row r="48" spans="1:9" x14ac:dyDescent="0.25">
      <c r="A48" s="25" t="s">
        <v>85</v>
      </c>
      <c r="B48" s="25" t="s">
        <v>38</v>
      </c>
      <c r="C48" s="25" t="s">
        <v>175</v>
      </c>
      <c r="D48" s="84">
        <v>22</v>
      </c>
      <c r="E48" s="84">
        <v>45760</v>
      </c>
      <c r="F48" s="92">
        <v>22.660000000000004</v>
      </c>
      <c r="G48" s="91">
        <v>47132.800000000003</v>
      </c>
    </row>
    <row r="49" spans="1:7" x14ac:dyDescent="0.25">
      <c r="A49" s="25" t="s">
        <v>20</v>
      </c>
      <c r="B49" s="25" t="s">
        <v>144</v>
      </c>
      <c r="C49" s="25" t="s">
        <v>175</v>
      </c>
      <c r="D49" s="84">
        <v>26.94</v>
      </c>
      <c r="E49" s="83">
        <v>56035</v>
      </c>
      <c r="F49" s="92">
        <v>27.748100961538462</v>
      </c>
      <c r="G49" s="91">
        <v>57716.05</v>
      </c>
    </row>
    <row r="50" spans="1:7" x14ac:dyDescent="0.25">
      <c r="A50" s="25" t="s">
        <v>16</v>
      </c>
      <c r="B50" s="25" t="s">
        <v>40</v>
      </c>
      <c r="C50" s="25" t="s">
        <v>175</v>
      </c>
      <c r="D50" s="84">
        <v>26.95</v>
      </c>
      <c r="E50" s="83">
        <v>56056</v>
      </c>
      <c r="F50" s="92">
        <v>27.758499999999998</v>
      </c>
      <c r="G50" s="91">
        <v>57737.68</v>
      </c>
    </row>
    <row r="51" spans="1:7" x14ac:dyDescent="0.25">
      <c r="A51" s="25" t="s">
        <v>18</v>
      </c>
      <c r="B51" s="25" t="s">
        <v>38</v>
      </c>
      <c r="C51" s="25" t="s">
        <v>175</v>
      </c>
      <c r="D51" s="84">
        <v>27.78</v>
      </c>
      <c r="E51" s="83">
        <v>57782.400000000001</v>
      </c>
      <c r="F51" s="92">
        <v>28.613400000000002</v>
      </c>
      <c r="G51" s="91">
        <v>59515.872000000003</v>
      </c>
    </row>
    <row r="52" spans="1:7" x14ac:dyDescent="0.25">
      <c r="G52" s="108">
        <f>SUM(G43:G51)</f>
        <v>443483.87399999995</v>
      </c>
    </row>
    <row r="54" spans="1:7" x14ac:dyDescent="0.25">
      <c r="A54" s="4" t="s">
        <v>180</v>
      </c>
      <c r="G54" s="108">
        <f>SUM(G31,G39,G52)</f>
        <v>1118866.3319511898</v>
      </c>
    </row>
  </sheetData>
  <pageMargins left="0.45" right="0.45" top="0.25" bottom="0.5" header="0.3" footer="0.3"/>
  <pageSetup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D20"/>
  <sheetViews>
    <sheetView workbookViewId="0">
      <selection activeCell="G11" sqref="G11"/>
    </sheetView>
  </sheetViews>
  <sheetFormatPr defaultRowHeight="15" x14ac:dyDescent="0.25"/>
  <cols>
    <col min="2" max="2" width="9.7109375" bestFit="1" customWidth="1"/>
    <col min="4" max="4" width="14.28515625" bestFit="1" customWidth="1"/>
    <col min="5" max="5" width="15.140625" bestFit="1" customWidth="1"/>
  </cols>
  <sheetData>
    <row r="1" spans="1:4" x14ac:dyDescent="0.25">
      <c r="A1" s="4"/>
    </row>
    <row r="2" spans="1:4" x14ac:dyDescent="0.25">
      <c r="A2" s="4"/>
    </row>
    <row r="5" spans="1:4" x14ac:dyDescent="0.25">
      <c r="C5" s="4" t="s">
        <v>86</v>
      </c>
      <c r="D5" s="4"/>
    </row>
    <row r="8" spans="1:4" x14ac:dyDescent="0.25">
      <c r="B8" s="5"/>
    </row>
    <row r="14" spans="1:4" x14ac:dyDescent="0.25">
      <c r="B14" s="5"/>
    </row>
    <row r="20" spans="2:2" x14ac:dyDescent="0.25">
      <c r="B20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L35"/>
  <sheetViews>
    <sheetView workbookViewId="0">
      <selection activeCell="E6" sqref="E6"/>
    </sheetView>
  </sheetViews>
  <sheetFormatPr defaultRowHeight="15" x14ac:dyDescent="0.25"/>
  <cols>
    <col min="1" max="1" width="41.7109375" bestFit="1" customWidth="1"/>
    <col min="2" max="2" width="18" bestFit="1" customWidth="1"/>
    <col min="3" max="3" width="14.28515625" bestFit="1" customWidth="1"/>
    <col min="4" max="4" width="18" bestFit="1" customWidth="1"/>
    <col min="5" max="9" width="14.28515625" bestFit="1" customWidth="1"/>
    <col min="10" max="11" width="12.5703125" bestFit="1" customWidth="1"/>
    <col min="12" max="12" width="14" bestFit="1" customWidth="1"/>
  </cols>
  <sheetData>
    <row r="1" spans="1:12" ht="18.75" x14ac:dyDescent="0.3">
      <c r="A1" s="6" t="s">
        <v>196</v>
      </c>
      <c r="B1" s="6" t="s">
        <v>97</v>
      </c>
    </row>
    <row r="3" spans="1:12" ht="15.75" x14ac:dyDescent="0.25">
      <c r="A3" s="10" t="s">
        <v>42</v>
      </c>
      <c r="B3" s="3" t="s">
        <v>49</v>
      </c>
      <c r="C3" s="3" t="s">
        <v>50</v>
      </c>
      <c r="D3" s="3" t="s">
        <v>51</v>
      </c>
      <c r="E3" s="3" t="s">
        <v>52</v>
      </c>
      <c r="F3" s="4"/>
    </row>
    <row r="4" spans="1:12" x14ac:dyDescent="0.25">
      <c r="A4" s="25" t="s">
        <v>43</v>
      </c>
      <c r="B4" s="16">
        <v>1521934</v>
      </c>
      <c r="C4" s="26">
        <v>461900</v>
      </c>
      <c r="D4" s="16">
        <v>58000</v>
      </c>
      <c r="E4" s="75">
        <f>SUM(B4-C4-D4)</f>
        <v>1002034</v>
      </c>
      <c r="F4" s="9">
        <f>SUM(C4:E4)</f>
        <v>1521934</v>
      </c>
      <c r="H4" s="9"/>
    </row>
    <row r="5" spans="1:12" x14ac:dyDescent="0.25">
      <c r="A5" s="25" t="s">
        <v>44</v>
      </c>
      <c r="B5" s="16">
        <v>184000</v>
      </c>
      <c r="C5" s="27"/>
      <c r="D5" s="16"/>
      <c r="E5" s="105">
        <v>184000</v>
      </c>
      <c r="F5" s="65">
        <f>SUM(E4:E5)</f>
        <v>1186034</v>
      </c>
      <c r="G5" s="72"/>
      <c r="H5" s="32"/>
      <c r="I5" s="8"/>
    </row>
    <row r="6" spans="1:12" x14ac:dyDescent="0.25">
      <c r="A6" s="25" t="s">
        <v>45</v>
      </c>
      <c r="B6" s="16">
        <v>411517</v>
      </c>
      <c r="C6" s="26">
        <v>316170</v>
      </c>
      <c r="D6" s="16">
        <v>85000</v>
      </c>
      <c r="E6" s="75">
        <f>SUM(B6-C6-D6)</f>
        <v>10347</v>
      </c>
      <c r="F6" s="9">
        <f>SUM(C6:E6)</f>
        <v>411517</v>
      </c>
      <c r="H6" s="9"/>
    </row>
    <row r="7" spans="1:12" x14ac:dyDescent="0.25">
      <c r="A7" s="25" t="s">
        <v>46</v>
      </c>
      <c r="B7" s="16">
        <v>1511891</v>
      </c>
      <c r="C7" s="26">
        <v>256100</v>
      </c>
      <c r="D7" s="16">
        <v>175000</v>
      </c>
      <c r="E7" s="75">
        <f>SUM(B7-C7-D7)</f>
        <v>1080791</v>
      </c>
      <c r="F7" s="9">
        <f>SUM(C7:E7)</f>
        <v>1511891</v>
      </c>
      <c r="H7" s="9"/>
      <c r="I7" s="8"/>
      <c r="J7" s="8"/>
      <c r="K7" s="8"/>
      <c r="L7" s="8"/>
    </row>
    <row r="8" spans="1:12" x14ac:dyDescent="0.25">
      <c r="A8" s="25" t="s">
        <v>47</v>
      </c>
      <c r="B8" s="16">
        <v>577833</v>
      </c>
      <c r="C8" s="26"/>
      <c r="D8" s="16"/>
      <c r="E8" s="75">
        <f>SUM(B8-C8-D8)</f>
        <v>577833</v>
      </c>
      <c r="F8" s="8">
        <f>SUM(D8:E8)</f>
        <v>577833</v>
      </c>
      <c r="I8" s="8"/>
    </row>
    <row r="9" spans="1:12" x14ac:dyDescent="0.25">
      <c r="A9" s="25" t="s">
        <v>88</v>
      </c>
      <c r="B9" s="16"/>
      <c r="C9" s="27"/>
      <c r="D9" s="16"/>
      <c r="E9" s="16"/>
      <c r="F9" s="8">
        <f>SUM(D9:E9)</f>
        <v>0</v>
      </c>
    </row>
    <row r="10" spans="1:12" x14ac:dyDescent="0.25">
      <c r="A10" s="25" t="s">
        <v>98</v>
      </c>
      <c r="B10" s="16"/>
      <c r="C10" s="27"/>
      <c r="D10" s="16"/>
      <c r="E10" s="16"/>
      <c r="F10" s="8"/>
    </row>
    <row r="11" spans="1:12" x14ac:dyDescent="0.25">
      <c r="A11" s="28" t="s">
        <v>48</v>
      </c>
      <c r="B11" s="29">
        <f>SUM(B4:B10)</f>
        <v>4207175</v>
      </c>
      <c r="C11" s="30">
        <f>SUM(C4:C10)</f>
        <v>1034170</v>
      </c>
      <c r="D11" s="29">
        <f>SUM(D4:D10)</f>
        <v>318000</v>
      </c>
      <c r="E11" s="29">
        <f>SUM(E4:E10)</f>
        <v>2855005</v>
      </c>
      <c r="F11" s="9"/>
    </row>
    <row r="12" spans="1:12" x14ac:dyDescent="0.25">
      <c r="A12" s="18"/>
      <c r="B12" s="19"/>
      <c r="C12" s="19"/>
      <c r="D12" s="19"/>
      <c r="E12" s="20"/>
      <c r="F12" s="9"/>
    </row>
    <row r="13" spans="1:12" x14ac:dyDescent="0.25">
      <c r="A13" s="3" t="s">
        <v>199</v>
      </c>
    </row>
    <row r="14" spans="1:12" x14ac:dyDescent="0.25">
      <c r="A14" s="25" t="s">
        <v>43</v>
      </c>
      <c r="B14" s="16">
        <v>1673459</v>
      </c>
      <c r="C14" s="26">
        <v>453145</v>
      </c>
      <c r="D14" s="16">
        <v>25000</v>
      </c>
      <c r="E14" s="16">
        <v>1011314</v>
      </c>
      <c r="F14" s="21"/>
    </row>
    <row r="15" spans="1:12" x14ac:dyDescent="0.25">
      <c r="A15" s="25" t="s">
        <v>44</v>
      </c>
      <c r="B15" s="16">
        <v>184000</v>
      </c>
      <c r="C15" s="27">
        <v>0</v>
      </c>
      <c r="D15" s="16">
        <v>0</v>
      </c>
      <c r="E15" s="16">
        <v>184000</v>
      </c>
      <c r="F15" s="21"/>
      <c r="H15" s="21"/>
    </row>
    <row r="16" spans="1:12" x14ac:dyDescent="0.25">
      <c r="A16" s="25" t="s">
        <v>45</v>
      </c>
      <c r="B16" s="16">
        <v>353739</v>
      </c>
      <c r="C16" s="26">
        <v>293250</v>
      </c>
      <c r="D16" s="16">
        <v>30237</v>
      </c>
      <c r="E16" s="16">
        <v>30252</v>
      </c>
      <c r="F16" s="21"/>
    </row>
    <row r="17" spans="1:7" x14ac:dyDescent="0.25">
      <c r="A17" s="25" t="s">
        <v>46</v>
      </c>
      <c r="B17" s="16">
        <v>1621546</v>
      </c>
      <c r="C17" s="26">
        <v>387671</v>
      </c>
      <c r="D17" s="16">
        <v>220000</v>
      </c>
      <c r="E17" s="16">
        <v>1013875</v>
      </c>
      <c r="F17" s="21"/>
    </row>
    <row r="18" spans="1:7" x14ac:dyDescent="0.25">
      <c r="A18" s="25" t="s">
        <v>47</v>
      </c>
      <c r="B18" s="16">
        <v>563500</v>
      </c>
      <c r="C18" s="26">
        <v>0</v>
      </c>
      <c r="D18" s="16">
        <v>0</v>
      </c>
      <c r="E18" s="16">
        <v>563500</v>
      </c>
      <c r="F18" s="21"/>
    </row>
    <row r="19" spans="1:7" x14ac:dyDescent="0.25">
      <c r="A19" s="25" t="s">
        <v>63</v>
      </c>
      <c r="B19" s="16">
        <v>0</v>
      </c>
      <c r="C19" s="27">
        <v>0</v>
      </c>
      <c r="D19" s="16">
        <v>0</v>
      </c>
      <c r="E19" s="16">
        <v>0</v>
      </c>
      <c r="F19" s="21"/>
    </row>
    <row r="20" spans="1:7" x14ac:dyDescent="0.25">
      <c r="A20" s="25" t="s">
        <v>98</v>
      </c>
      <c r="B20" s="16">
        <v>3500</v>
      </c>
      <c r="C20" s="27">
        <v>3500</v>
      </c>
      <c r="D20" s="16">
        <v>0</v>
      </c>
      <c r="E20" s="16">
        <v>0</v>
      </c>
      <c r="F20" s="21"/>
    </row>
    <row r="21" spans="1:7" x14ac:dyDescent="0.25">
      <c r="A21" s="28" t="s">
        <v>48</v>
      </c>
      <c r="B21" s="29">
        <v>4399744</v>
      </c>
      <c r="C21" s="30">
        <v>1137566</v>
      </c>
      <c r="D21" s="29">
        <v>275237</v>
      </c>
      <c r="E21" s="29">
        <v>2802941</v>
      </c>
      <c r="F21" s="22"/>
    </row>
    <row r="23" spans="1:7" x14ac:dyDescent="0.25">
      <c r="A23" s="11" t="s">
        <v>69</v>
      </c>
      <c r="D23" t="s">
        <v>200</v>
      </c>
    </row>
    <row r="24" spans="1:7" x14ac:dyDescent="0.25">
      <c r="A24" s="42" t="s">
        <v>66</v>
      </c>
      <c r="D24" t="s">
        <v>55</v>
      </c>
      <c r="E24" s="70">
        <f>SUM('TAX RATE CALCULATOR'!B15)</f>
        <v>0.84512939852555968</v>
      </c>
    </row>
    <row r="25" spans="1:7" x14ac:dyDescent="0.25">
      <c r="A25" s="42">
        <v>2867005</v>
      </c>
      <c r="D25" t="s">
        <v>91</v>
      </c>
      <c r="E25" s="70">
        <f>SUM('TAX RATE CALCULATOR'!B23)</f>
        <v>1.9713742713027522</v>
      </c>
    </row>
    <row r="26" spans="1:7" x14ac:dyDescent="0.25">
      <c r="A26" s="12" t="s">
        <v>70</v>
      </c>
      <c r="B26" s="33" t="s">
        <v>218</v>
      </c>
      <c r="D26" t="s">
        <v>57</v>
      </c>
      <c r="E26" s="70">
        <f>SUM('TAX RATE CALCULATOR'!B28)</f>
        <v>0.4899688466123871</v>
      </c>
      <c r="G26" t="s">
        <v>66</v>
      </c>
    </row>
    <row r="27" spans="1:7" x14ac:dyDescent="0.25">
      <c r="A27" s="17">
        <f>SUM(E11)</f>
        <v>2855005</v>
      </c>
      <c r="B27" s="9">
        <f>SUM(A25-A27)</f>
        <v>12000</v>
      </c>
      <c r="D27" t="s">
        <v>56</v>
      </c>
      <c r="E27" s="70">
        <f>SUM('TAX RATE CALCULATOR'!B33)</f>
        <v>0.15518795876386043</v>
      </c>
    </row>
    <row r="28" spans="1:7" x14ac:dyDescent="0.25">
      <c r="E28" s="70"/>
    </row>
    <row r="29" spans="1:7" x14ac:dyDescent="0.25">
      <c r="A29" s="12" t="s">
        <v>209</v>
      </c>
      <c r="D29" t="s">
        <v>176</v>
      </c>
      <c r="E29" s="70"/>
    </row>
    <row r="30" spans="1:7" x14ac:dyDescent="0.25">
      <c r="A30" s="16">
        <v>0</v>
      </c>
      <c r="D30" t="s">
        <v>55</v>
      </c>
      <c r="E30" s="70">
        <v>0.86074537277634799</v>
      </c>
    </row>
    <row r="31" spans="1:7" x14ac:dyDescent="0.25">
      <c r="D31" t="s">
        <v>91</v>
      </c>
      <c r="E31" s="70">
        <v>1.9481409083938508</v>
      </c>
    </row>
    <row r="32" spans="1:7" x14ac:dyDescent="0.25">
      <c r="A32" t="s">
        <v>211</v>
      </c>
      <c r="B32" s="9">
        <f>SUM(E11)</f>
        <v>2855005</v>
      </c>
      <c r="D32" t="s">
        <v>57</v>
      </c>
      <c r="E32" s="70">
        <v>0.47991183589485031</v>
      </c>
    </row>
    <row r="33" spans="1:5" x14ac:dyDescent="0.25">
      <c r="A33" t="s">
        <v>212</v>
      </c>
      <c r="B33" s="9">
        <f>SUM(E21)</f>
        <v>2802941</v>
      </c>
      <c r="D33" t="s">
        <v>56</v>
      </c>
      <c r="E33" s="70">
        <v>0.15660467447931073</v>
      </c>
    </row>
    <row r="34" spans="1:5" x14ac:dyDescent="0.25">
      <c r="A34" t="s">
        <v>100</v>
      </c>
      <c r="B34" s="9">
        <f>SUM(B32-B33)</f>
        <v>52064</v>
      </c>
    </row>
    <row r="35" spans="1:5" x14ac:dyDescent="0.25">
      <c r="A35" t="s">
        <v>134</v>
      </c>
      <c r="B35" s="104">
        <f>SUM(B34/B33/100)</f>
        <v>1.8574775566092901E-4</v>
      </c>
    </row>
  </sheetData>
  <pageMargins left="0.25" right="0.25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33"/>
  <sheetViews>
    <sheetView tabSelected="1" workbookViewId="0">
      <selection activeCell="E19" sqref="E19"/>
    </sheetView>
  </sheetViews>
  <sheetFormatPr defaultRowHeight="15" x14ac:dyDescent="0.25"/>
  <cols>
    <col min="1" max="1" width="40.7109375" customWidth="1"/>
    <col min="2" max="6" width="19.85546875" bestFit="1" customWidth="1"/>
  </cols>
  <sheetData>
    <row r="1" spans="1:6" ht="15.75" x14ac:dyDescent="0.25">
      <c r="A1" s="23" t="s">
        <v>196</v>
      </c>
      <c r="B1" s="43"/>
      <c r="C1" s="43"/>
      <c r="D1" s="43"/>
      <c r="E1" s="43"/>
      <c r="F1" s="43"/>
    </row>
    <row r="2" spans="1:6" ht="15.75" x14ac:dyDescent="0.25">
      <c r="A2" s="23" t="s">
        <v>78</v>
      </c>
      <c r="B2" s="43"/>
      <c r="C2" s="43"/>
      <c r="D2" s="43"/>
      <c r="E2" s="43"/>
      <c r="F2" s="43"/>
    </row>
    <row r="3" spans="1:6" ht="15.75" x14ac:dyDescent="0.25">
      <c r="A3" s="43"/>
      <c r="B3" s="43"/>
      <c r="C3" s="43"/>
      <c r="D3" s="43"/>
      <c r="E3" s="43"/>
      <c r="F3" s="43"/>
    </row>
    <row r="4" spans="1:6" ht="15.75" x14ac:dyDescent="0.25">
      <c r="A4" s="10" t="s">
        <v>53</v>
      </c>
      <c r="B4" s="44">
        <v>2019</v>
      </c>
      <c r="C4" s="44">
        <v>2020</v>
      </c>
      <c r="D4" s="44">
        <v>2021</v>
      </c>
      <c r="E4" s="44">
        <v>2022</v>
      </c>
      <c r="F4" s="10"/>
    </row>
    <row r="5" spans="1:6" ht="15.75" x14ac:dyDescent="0.25">
      <c r="A5" s="43" t="s">
        <v>54</v>
      </c>
      <c r="B5" s="71">
        <v>1.811938291969178</v>
      </c>
      <c r="C5" s="71">
        <v>1.9075467752128792</v>
      </c>
      <c r="D5" s="71">
        <v>1.9481409083938508</v>
      </c>
      <c r="E5" s="71">
        <f>SUM('TAX RATE CALCULATOR'!B23)</f>
        <v>1.9713742713027522</v>
      </c>
    </row>
    <row r="6" spans="1:6" ht="15.75" x14ac:dyDescent="0.25">
      <c r="A6" s="43" t="s">
        <v>55</v>
      </c>
      <c r="B6" s="71">
        <v>0.7720380088538531</v>
      </c>
      <c r="C6" s="71">
        <v>0.86399158032602852</v>
      </c>
      <c r="D6" s="71">
        <v>0.86074537277634799</v>
      </c>
      <c r="E6" s="71">
        <f>SUM('TAX RATE CALCULATOR'!B15)</f>
        <v>0.84512939852555968</v>
      </c>
    </row>
    <row r="7" spans="1:6" ht="15.75" x14ac:dyDescent="0.25">
      <c r="A7" s="43" t="s">
        <v>56</v>
      </c>
      <c r="B7" s="71">
        <v>0.15595572891503973</v>
      </c>
      <c r="C7" s="71">
        <v>0.15648467385702403</v>
      </c>
      <c r="D7" s="71">
        <v>0.15660467447931073</v>
      </c>
      <c r="E7" s="71">
        <f>SUM('TAX RATE CALCULATOR'!B33)</f>
        <v>0.15518795876386043</v>
      </c>
    </row>
    <row r="8" spans="1:6" ht="15.75" x14ac:dyDescent="0.25">
      <c r="A8" s="43" t="s">
        <v>57</v>
      </c>
      <c r="B8" s="71">
        <v>0.40191409380782545</v>
      </c>
      <c r="C8" s="71">
        <v>0.46896371491893468</v>
      </c>
      <c r="D8" s="71">
        <v>0.47991183589485031</v>
      </c>
      <c r="E8" s="71">
        <f>SUM('TAX RATE CALCULATOR'!B28)</f>
        <v>0.4899688466123871</v>
      </c>
    </row>
    <row r="9" spans="1:6" ht="15.75" x14ac:dyDescent="0.25">
      <c r="A9" s="43"/>
      <c r="B9" s="45"/>
      <c r="C9" s="45"/>
      <c r="D9" s="43"/>
      <c r="E9" s="43"/>
    </row>
    <row r="10" spans="1:6" ht="15.75" x14ac:dyDescent="0.25">
      <c r="A10" s="10" t="s">
        <v>58</v>
      </c>
      <c r="B10" s="46">
        <v>2019</v>
      </c>
      <c r="C10" s="46">
        <v>2020</v>
      </c>
      <c r="D10" s="23">
        <v>2021</v>
      </c>
      <c r="E10" s="23">
        <v>2022</v>
      </c>
    </row>
    <row r="11" spans="1:6" ht="15.75" x14ac:dyDescent="0.25">
      <c r="A11" s="43" t="s">
        <v>55</v>
      </c>
      <c r="B11" s="47">
        <v>212526116</v>
      </c>
      <c r="C11" s="48">
        <v>213785507</v>
      </c>
      <c r="D11" s="49">
        <v>214726908</v>
      </c>
      <c r="E11" s="49">
        <v>216830294</v>
      </c>
    </row>
    <row r="12" spans="1:6" ht="15.75" x14ac:dyDescent="0.25">
      <c r="A12" s="43" t="s">
        <v>91</v>
      </c>
      <c r="B12" s="47">
        <v>967295974</v>
      </c>
      <c r="C12" s="48">
        <v>962048870</v>
      </c>
      <c r="D12" s="49">
        <v>960206247</v>
      </c>
      <c r="E12" s="49">
        <v>968828802</v>
      </c>
    </row>
    <row r="13" spans="1:6" ht="15.75" x14ac:dyDescent="0.25">
      <c r="A13" s="43" t="s">
        <v>59</v>
      </c>
      <c r="B13" s="47">
        <v>179822090</v>
      </c>
      <c r="C13" s="48">
        <v>1175834377</v>
      </c>
      <c r="D13" s="49">
        <v>1174933155</v>
      </c>
      <c r="E13" s="49">
        <v>1185659096</v>
      </c>
    </row>
    <row r="14" spans="1:6" ht="15.75" x14ac:dyDescent="0.25">
      <c r="A14" s="43" t="s">
        <v>60</v>
      </c>
      <c r="B14" s="47">
        <v>1184059265</v>
      </c>
      <c r="C14" s="48">
        <v>1178556296</v>
      </c>
      <c r="D14" s="49">
        <v>1174174000</v>
      </c>
      <c r="E14" s="49">
        <v>1179326506</v>
      </c>
    </row>
    <row r="15" spans="1:6" ht="15.75" x14ac:dyDescent="0.25">
      <c r="A15" s="43" t="s">
        <v>61</v>
      </c>
      <c r="B15" s="45" t="s">
        <v>90</v>
      </c>
      <c r="C15" s="50" t="s">
        <v>90</v>
      </c>
      <c r="D15" s="51" t="s">
        <v>90</v>
      </c>
      <c r="E15" s="51" t="s">
        <v>90</v>
      </c>
    </row>
    <row r="16" spans="1:6" ht="15.75" x14ac:dyDescent="0.25">
      <c r="A16" s="43"/>
      <c r="B16" s="47"/>
      <c r="C16" s="47"/>
      <c r="D16" s="47"/>
      <c r="E16" s="45"/>
      <c r="F16" s="43"/>
    </row>
    <row r="17" spans="1:6" ht="15.75" x14ac:dyDescent="0.25">
      <c r="A17" s="43"/>
      <c r="B17" s="45"/>
      <c r="C17" s="45"/>
      <c r="D17" s="45"/>
      <c r="E17" s="45"/>
      <c r="F17" s="43"/>
    </row>
    <row r="18" spans="1:6" ht="15.75" x14ac:dyDescent="0.25">
      <c r="A18" s="10" t="s">
        <v>42</v>
      </c>
      <c r="B18" s="10" t="s">
        <v>49</v>
      </c>
      <c r="C18" s="10" t="s">
        <v>50</v>
      </c>
      <c r="D18" s="10" t="s">
        <v>51</v>
      </c>
      <c r="E18" s="52" t="s">
        <v>52</v>
      </c>
    </row>
    <row r="19" spans="1:6" ht="15.75" x14ac:dyDescent="0.25">
      <c r="A19" s="53" t="s">
        <v>43</v>
      </c>
      <c r="B19" s="54">
        <f>SUM('TENTATIVE SUMMARY BUDGET'!B4)</f>
        <v>1521934</v>
      </c>
      <c r="C19" s="55">
        <f>SUM('TENTATIVE SUMMARY BUDGET'!C4)</f>
        <v>461900</v>
      </c>
      <c r="D19" s="54">
        <f>SUM('TENTATIVE SUMMARY BUDGET'!D4)</f>
        <v>58000</v>
      </c>
      <c r="E19" s="56">
        <f>SUM(B19-C19-D19)</f>
        <v>1002034</v>
      </c>
      <c r="F19" s="67">
        <f>SUM(C19:E19)</f>
        <v>1521934</v>
      </c>
    </row>
    <row r="20" spans="1:6" ht="15.75" x14ac:dyDescent="0.25">
      <c r="A20" s="53" t="s">
        <v>44</v>
      </c>
      <c r="B20" s="54">
        <v>184000</v>
      </c>
      <c r="C20" s="57">
        <v>0</v>
      </c>
      <c r="D20" s="54">
        <v>0</v>
      </c>
      <c r="E20" s="56">
        <v>184000</v>
      </c>
      <c r="F20" s="68">
        <v>184000</v>
      </c>
    </row>
    <row r="21" spans="1:6" ht="15.75" x14ac:dyDescent="0.25">
      <c r="A21" s="53" t="s">
        <v>45</v>
      </c>
      <c r="B21" s="54">
        <f>SUM('TENTATIVE SUMMARY BUDGET'!B6)</f>
        <v>411517</v>
      </c>
      <c r="C21" s="55">
        <f>SUM('TENTATIVE SUMMARY BUDGET'!C6)</f>
        <v>316170</v>
      </c>
      <c r="D21" s="54">
        <f>SUM('TENTATIVE SUMMARY BUDGET'!D6)</f>
        <v>85000</v>
      </c>
      <c r="E21" s="56">
        <f>SUM(B21-C21-D21)</f>
        <v>10347</v>
      </c>
      <c r="F21" s="67">
        <f>SUM(C21:E21)</f>
        <v>411517</v>
      </c>
    </row>
    <row r="22" spans="1:6" ht="15.75" x14ac:dyDescent="0.25">
      <c r="A22" s="53" t="s">
        <v>46</v>
      </c>
      <c r="B22" s="54">
        <f>SUM('TENTATIVE SUMMARY BUDGET'!B7)</f>
        <v>1511891</v>
      </c>
      <c r="C22" s="55">
        <f>SUM('TENTATIVE SUMMARY BUDGET'!C7)</f>
        <v>256100</v>
      </c>
      <c r="D22" s="54">
        <f>SUM('TENTATIVE SUMMARY BUDGET'!D7)</f>
        <v>175000</v>
      </c>
      <c r="E22" s="56">
        <f>SUM(B22-C22-D22)</f>
        <v>1080791</v>
      </c>
      <c r="F22" s="67">
        <f>SUM(C22:E22)</f>
        <v>1511891</v>
      </c>
    </row>
    <row r="23" spans="1:6" ht="15.75" x14ac:dyDescent="0.25">
      <c r="A23" s="53" t="s">
        <v>47</v>
      </c>
      <c r="B23" s="54">
        <v>577833</v>
      </c>
      <c r="C23" s="55">
        <v>0</v>
      </c>
      <c r="D23" s="54">
        <v>0</v>
      </c>
      <c r="E23" s="56">
        <f>SUM(B23-C23-D23)</f>
        <v>577833</v>
      </c>
      <c r="F23" s="67">
        <f>SUM(C23:E23)</f>
        <v>577833</v>
      </c>
    </row>
    <row r="24" spans="1:6" ht="15.75" x14ac:dyDescent="0.25">
      <c r="A24" s="53" t="s">
        <v>88</v>
      </c>
      <c r="B24" s="54">
        <v>0</v>
      </c>
      <c r="C24" s="57">
        <v>0</v>
      </c>
      <c r="D24" s="54">
        <v>0</v>
      </c>
      <c r="E24" s="56">
        <f>SUM(B24-C24-D24)</f>
        <v>0</v>
      </c>
      <c r="F24" s="67">
        <f>SUM(C24:E24)</f>
        <v>0</v>
      </c>
    </row>
    <row r="25" spans="1:6" ht="15.75" x14ac:dyDescent="0.25">
      <c r="A25" s="53" t="s">
        <v>98</v>
      </c>
      <c r="B25" s="54">
        <v>0</v>
      </c>
      <c r="C25" s="57">
        <v>0</v>
      </c>
      <c r="D25" s="54">
        <v>0</v>
      </c>
      <c r="E25" s="56">
        <f>SUM(B25-C25-D25)</f>
        <v>0</v>
      </c>
      <c r="F25" s="68"/>
    </row>
    <row r="26" spans="1:6" ht="15.75" x14ac:dyDescent="0.25">
      <c r="A26" s="59" t="s">
        <v>48</v>
      </c>
      <c r="B26" s="60">
        <f>SUM(B19:B25)</f>
        <v>4207175</v>
      </c>
      <c r="C26" s="58">
        <f>SUM(C19:C25)</f>
        <v>1034170</v>
      </c>
      <c r="D26" s="60">
        <f>SUM(D19:D25)</f>
        <v>318000</v>
      </c>
      <c r="E26" s="60">
        <f>SUM(E19:E25)</f>
        <v>2855005</v>
      </c>
    </row>
    <row r="27" spans="1:6" ht="15.75" x14ac:dyDescent="0.25">
      <c r="A27" s="10"/>
      <c r="B27" s="61"/>
      <c r="C27" s="62"/>
      <c r="D27" s="61"/>
      <c r="E27" s="61"/>
      <c r="F27" s="43"/>
    </row>
    <row r="28" spans="1:6" ht="15.75" x14ac:dyDescent="0.25">
      <c r="A28" s="63" t="s">
        <v>96</v>
      </c>
      <c r="B28" s="43"/>
      <c r="C28" s="43"/>
      <c r="D28" s="43"/>
      <c r="E28" s="43"/>
      <c r="F28" s="43"/>
    </row>
    <row r="29" spans="1:6" ht="15.75" x14ac:dyDescent="0.25">
      <c r="A29" s="42">
        <v>2867005</v>
      </c>
      <c r="B29" s="43"/>
      <c r="C29" s="43"/>
      <c r="D29" s="43"/>
      <c r="E29" s="43"/>
      <c r="F29" s="43"/>
    </row>
    <row r="30" spans="1:6" ht="15.75" x14ac:dyDescent="0.25">
      <c r="A30" s="64" t="s">
        <v>70</v>
      </c>
      <c r="B30" s="43"/>
      <c r="C30" s="43"/>
      <c r="D30" s="43"/>
      <c r="E30" s="43"/>
      <c r="F30" s="43"/>
    </row>
    <row r="31" spans="1:6" ht="15.75" x14ac:dyDescent="0.25">
      <c r="A31" s="17">
        <f>SUM(E26)</f>
        <v>2855005</v>
      </c>
      <c r="B31" s="43"/>
      <c r="C31" s="43"/>
      <c r="D31" s="43"/>
      <c r="E31" s="43"/>
      <c r="F31" s="43"/>
    </row>
    <row r="32" spans="1:6" ht="15.75" x14ac:dyDescent="0.25">
      <c r="A32" s="64" t="s">
        <v>209</v>
      </c>
      <c r="B32" s="43"/>
      <c r="C32" s="43"/>
      <c r="D32" s="43"/>
      <c r="E32" s="43"/>
      <c r="F32" s="43"/>
    </row>
    <row r="33" spans="1:6" ht="15.75" x14ac:dyDescent="0.25">
      <c r="A33" s="54">
        <v>0</v>
      </c>
      <c r="B33" s="43"/>
      <c r="C33" s="43"/>
      <c r="D33" s="43"/>
      <c r="E33" s="43"/>
      <c r="F33" s="43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F40"/>
  <sheetViews>
    <sheetView workbookViewId="0">
      <selection activeCell="E19" sqref="E19"/>
    </sheetView>
  </sheetViews>
  <sheetFormatPr defaultRowHeight="15" x14ac:dyDescent="0.25"/>
  <cols>
    <col min="1" max="1" width="13.7109375" bestFit="1" customWidth="1"/>
    <col min="2" max="5" width="18" bestFit="1" customWidth="1"/>
    <col min="6" max="6" width="18.140625" bestFit="1" customWidth="1"/>
  </cols>
  <sheetData>
    <row r="1" spans="1:6" ht="18.75" x14ac:dyDescent="0.3">
      <c r="A1" s="6" t="s">
        <v>197</v>
      </c>
    </row>
    <row r="3" spans="1:6" x14ac:dyDescent="0.25">
      <c r="A3" s="3" t="s">
        <v>53</v>
      </c>
      <c r="B3" s="3">
        <v>2019</v>
      </c>
      <c r="C3" s="3">
        <v>2020</v>
      </c>
      <c r="D3" s="3">
        <v>2021</v>
      </c>
      <c r="E3" s="3">
        <v>2022</v>
      </c>
    </row>
    <row r="4" spans="1:6" x14ac:dyDescent="0.25">
      <c r="A4" s="36"/>
      <c r="B4" s="3"/>
      <c r="C4" s="3"/>
      <c r="D4" s="3"/>
      <c r="E4" s="3"/>
    </row>
    <row r="5" spans="1:6" x14ac:dyDescent="0.25">
      <c r="A5" t="s">
        <v>91</v>
      </c>
      <c r="B5">
        <v>1.811938291969178</v>
      </c>
      <c r="C5" s="70">
        <v>1.9075467752128792</v>
      </c>
      <c r="D5" s="70">
        <v>1.9481409083938508</v>
      </c>
      <c r="E5" s="70">
        <f>SUM('TAX RATE CALCULATOR'!B23)</f>
        <v>1.9713742713027522</v>
      </c>
      <c r="F5" s="70"/>
    </row>
    <row r="6" spans="1:6" x14ac:dyDescent="0.25">
      <c r="A6" t="s">
        <v>55</v>
      </c>
      <c r="B6" s="7">
        <v>0.7720380088538531</v>
      </c>
      <c r="C6" s="76">
        <v>0.86399158032602852</v>
      </c>
      <c r="D6" s="70">
        <v>0.86074537277634799</v>
      </c>
      <c r="E6" s="122">
        <f>SUM('TAX RATE CALCULATOR'!B15)</f>
        <v>0.84512939852555968</v>
      </c>
      <c r="F6" s="70"/>
    </row>
    <row r="7" spans="1:6" x14ac:dyDescent="0.25">
      <c r="A7" t="s">
        <v>56</v>
      </c>
      <c r="B7">
        <v>0.15595572891503973</v>
      </c>
      <c r="C7" s="70">
        <v>0.15648467385702403</v>
      </c>
      <c r="D7" s="70">
        <v>0.16</v>
      </c>
      <c r="E7" s="70">
        <f>SUM('TAX RATE CALCULATOR'!B33)</f>
        <v>0.15518795876386043</v>
      </c>
      <c r="F7" s="70"/>
    </row>
    <row r="8" spans="1:6" x14ac:dyDescent="0.25">
      <c r="A8" t="s">
        <v>57</v>
      </c>
      <c r="B8">
        <v>0.40191409380782545</v>
      </c>
      <c r="C8" s="70">
        <v>0.46896371491893468</v>
      </c>
      <c r="D8" s="70">
        <v>0.48</v>
      </c>
      <c r="E8" s="70">
        <f>SUM('TAX RATE CALCULATOR'!B28)</f>
        <v>0.4899688466123871</v>
      </c>
      <c r="F8" s="70"/>
    </row>
    <row r="10" spans="1:6" x14ac:dyDescent="0.25">
      <c r="A10" s="3" t="s">
        <v>58</v>
      </c>
      <c r="B10" s="3">
        <v>2019</v>
      </c>
      <c r="C10" s="3">
        <v>2020</v>
      </c>
      <c r="D10" s="3">
        <v>2021</v>
      </c>
      <c r="E10" s="3">
        <v>2022</v>
      </c>
    </row>
    <row r="11" spans="1:6" x14ac:dyDescent="0.25">
      <c r="A11" t="s">
        <v>55</v>
      </c>
      <c r="B11" s="8">
        <v>212526116</v>
      </c>
      <c r="C11" s="8">
        <v>213785507</v>
      </c>
      <c r="D11" s="8">
        <v>214726908</v>
      </c>
      <c r="E11" s="8">
        <v>216830294</v>
      </c>
    </row>
    <row r="12" spans="1:6" x14ac:dyDescent="0.25">
      <c r="A12" t="s">
        <v>54</v>
      </c>
      <c r="B12" s="8">
        <v>967295974</v>
      </c>
      <c r="C12" s="8">
        <v>962048870</v>
      </c>
      <c r="D12" s="8">
        <v>960206247</v>
      </c>
      <c r="E12" s="8">
        <v>968828802</v>
      </c>
    </row>
    <row r="13" spans="1:6" x14ac:dyDescent="0.25">
      <c r="A13" t="s">
        <v>59</v>
      </c>
      <c r="B13" s="8">
        <v>1179822090</v>
      </c>
      <c r="C13" s="8">
        <v>1175834377</v>
      </c>
      <c r="D13" s="8">
        <v>1174933155</v>
      </c>
      <c r="E13" s="8">
        <v>1185659096</v>
      </c>
    </row>
    <row r="14" spans="1:6" x14ac:dyDescent="0.25">
      <c r="A14" t="s">
        <v>60</v>
      </c>
      <c r="B14" s="8">
        <v>1184059265</v>
      </c>
      <c r="C14" s="8">
        <v>1178556296</v>
      </c>
      <c r="D14" s="8">
        <v>1174174000</v>
      </c>
      <c r="E14" s="8">
        <v>1179326506</v>
      </c>
    </row>
    <row r="15" spans="1:6" x14ac:dyDescent="0.25">
      <c r="A15" t="s">
        <v>61</v>
      </c>
      <c r="B15" s="37"/>
      <c r="C15" s="33" t="s">
        <v>101</v>
      </c>
      <c r="D15" s="33">
        <v>0.18181600332646169</v>
      </c>
      <c r="E15" s="77">
        <f>SUM('TAX RATE CALCULATOR'!B6)</f>
        <v>0.18287743477995466</v>
      </c>
    </row>
    <row r="16" spans="1:6" x14ac:dyDescent="0.25">
      <c r="B16" s="13"/>
      <c r="C16" s="7"/>
      <c r="D16" s="13"/>
      <c r="E16" s="33"/>
    </row>
    <row r="17" spans="2:5" x14ac:dyDescent="0.25">
      <c r="B17" s="13"/>
      <c r="C17" s="7"/>
      <c r="D17" s="41">
        <v>2020</v>
      </c>
      <c r="E17" s="3">
        <v>2021</v>
      </c>
    </row>
    <row r="18" spans="2:5" x14ac:dyDescent="0.25">
      <c r="D18" s="39" t="s">
        <v>52</v>
      </c>
      <c r="E18" s="39" t="s">
        <v>52</v>
      </c>
    </row>
    <row r="19" spans="2:5" x14ac:dyDescent="0.25">
      <c r="C19" s="8" t="s">
        <v>92</v>
      </c>
      <c r="D19" s="16">
        <v>1026158</v>
      </c>
      <c r="E19" s="16">
        <f>SUM('TENTATIVE SUMMARY BUDGET'!E4)</f>
        <v>1002034</v>
      </c>
    </row>
    <row r="20" spans="2:5" x14ac:dyDescent="0.25">
      <c r="C20" t="s">
        <v>56</v>
      </c>
      <c r="D20" s="16">
        <v>184000</v>
      </c>
      <c r="E20" s="16">
        <v>184000</v>
      </c>
    </row>
    <row r="21" spans="2:5" x14ac:dyDescent="0.25">
      <c r="C21" t="s">
        <v>93</v>
      </c>
      <c r="D21" s="16">
        <v>0</v>
      </c>
      <c r="E21" s="16">
        <f>SUM('TENTATIVE SUMMARY BUDGET'!E6)</f>
        <v>10347</v>
      </c>
    </row>
    <row r="22" spans="2:5" x14ac:dyDescent="0.25">
      <c r="C22" t="s">
        <v>94</v>
      </c>
      <c r="D22" s="16">
        <v>993702</v>
      </c>
      <c r="E22" s="16">
        <f>SUM('TENTATIVE SUMMARY BUDGET'!E7)</f>
        <v>1080791</v>
      </c>
    </row>
    <row r="23" spans="2:5" x14ac:dyDescent="0.25">
      <c r="C23" t="s">
        <v>57</v>
      </c>
      <c r="D23" s="16">
        <v>552700</v>
      </c>
      <c r="E23" s="16">
        <f>SUM('TENTATIVE SUMMARY BUDGET'!E8)</f>
        <v>577833</v>
      </c>
    </row>
    <row r="24" spans="2:5" x14ac:dyDescent="0.25">
      <c r="C24" s="34" t="s">
        <v>95</v>
      </c>
      <c r="D24" s="16">
        <v>0</v>
      </c>
      <c r="E24" s="16">
        <f>SUM('TENTATIVE SUMMARY BUDGET'!E9)</f>
        <v>0</v>
      </c>
    </row>
    <row r="25" spans="2:5" x14ac:dyDescent="0.25">
      <c r="C25" s="34" t="s">
        <v>99</v>
      </c>
      <c r="D25" s="16">
        <v>0</v>
      </c>
      <c r="E25" s="16">
        <v>0</v>
      </c>
    </row>
    <row r="26" spans="2:5" x14ac:dyDescent="0.25">
      <c r="C26" s="8" t="s">
        <v>48</v>
      </c>
      <c r="D26" s="16">
        <v>2756560</v>
      </c>
      <c r="E26" s="16">
        <f>SUM(E19:E25)</f>
        <v>2855005</v>
      </c>
    </row>
    <row r="27" spans="2:5" x14ac:dyDescent="0.25">
      <c r="D27" s="38"/>
      <c r="E27" s="31"/>
    </row>
    <row r="28" spans="2:5" x14ac:dyDescent="0.25">
      <c r="E28" s="9"/>
    </row>
    <row r="29" spans="2:5" x14ac:dyDescent="0.25">
      <c r="E29" s="9"/>
    </row>
    <row r="30" spans="2:5" x14ac:dyDescent="0.25">
      <c r="D30" s="14"/>
      <c r="E30" s="15"/>
    </row>
    <row r="31" spans="2:5" x14ac:dyDescent="0.25">
      <c r="E31" s="35"/>
    </row>
    <row r="32" spans="2:5" x14ac:dyDescent="0.25">
      <c r="E32" s="9"/>
    </row>
    <row r="33" spans="3:5" x14ac:dyDescent="0.25">
      <c r="E33" s="9"/>
    </row>
    <row r="34" spans="3:5" x14ac:dyDescent="0.25">
      <c r="C34" s="8"/>
      <c r="E34" s="9"/>
    </row>
    <row r="35" spans="3:5" x14ac:dyDescent="0.25">
      <c r="E35" s="9"/>
    </row>
    <row r="36" spans="3:5" x14ac:dyDescent="0.25">
      <c r="E36" s="9"/>
    </row>
    <row r="37" spans="3:5" x14ac:dyDescent="0.25">
      <c r="E37" s="9"/>
    </row>
    <row r="38" spans="3:5" x14ac:dyDescent="0.25">
      <c r="D38" s="14"/>
      <c r="E38" s="15"/>
    </row>
    <row r="39" spans="3:5" x14ac:dyDescent="0.25">
      <c r="E39" s="9"/>
    </row>
    <row r="40" spans="3:5" x14ac:dyDescent="0.25">
      <c r="E40" s="9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1"/>
  <sheetViews>
    <sheetView workbookViewId="0">
      <selection activeCell="E17" sqref="E17"/>
    </sheetView>
  </sheetViews>
  <sheetFormatPr defaultRowHeight="15" x14ac:dyDescent="0.25"/>
  <cols>
    <col min="1" max="1" width="14.7109375" customWidth="1"/>
    <col min="2" max="2" width="14.5703125" customWidth="1"/>
    <col min="3" max="3" width="11.42578125" customWidth="1"/>
    <col min="4" max="4" width="18.5703125" bestFit="1" customWidth="1"/>
    <col min="5" max="5" width="12.5703125" bestFit="1" customWidth="1"/>
    <col min="6" max="6" width="17.7109375" bestFit="1" customWidth="1"/>
    <col min="7" max="7" width="4.85546875" customWidth="1"/>
    <col min="8" max="8" width="15" customWidth="1"/>
    <col min="9" max="9" width="17.42578125" customWidth="1"/>
    <col min="10" max="10" width="10" customWidth="1"/>
    <col min="11" max="11" width="18.7109375" customWidth="1"/>
    <col min="12" max="12" width="11" customWidth="1"/>
    <col min="13" max="13" width="16.28515625" customWidth="1"/>
  </cols>
  <sheetData>
    <row r="1" spans="1:13" s="4" customFormat="1" x14ac:dyDescent="0.25">
      <c r="A1" s="4" t="s">
        <v>198</v>
      </c>
      <c r="H1" s="4" t="s">
        <v>198</v>
      </c>
    </row>
    <row r="3" spans="1:13" x14ac:dyDescent="0.25">
      <c r="A3" t="s">
        <v>71</v>
      </c>
      <c r="E3">
        <v>2021</v>
      </c>
      <c r="F3">
        <v>2022</v>
      </c>
      <c r="L3">
        <v>2021</v>
      </c>
      <c r="M3">
        <v>2022</v>
      </c>
    </row>
    <row r="4" spans="1:13" x14ac:dyDescent="0.25">
      <c r="A4" t="s">
        <v>72</v>
      </c>
      <c r="B4" t="s">
        <v>73</v>
      </c>
      <c r="C4" s="65">
        <v>249.5</v>
      </c>
      <c r="D4" t="s">
        <v>74</v>
      </c>
      <c r="E4" s="8">
        <v>882.89</v>
      </c>
      <c r="F4" s="8">
        <v>882.89</v>
      </c>
      <c r="H4" t="s">
        <v>72</v>
      </c>
      <c r="I4" t="s">
        <v>73</v>
      </c>
      <c r="J4" s="65">
        <v>286.2</v>
      </c>
      <c r="K4" t="s">
        <v>74</v>
      </c>
      <c r="L4" s="8">
        <v>1012.76</v>
      </c>
      <c r="M4" s="8">
        <v>1012.76</v>
      </c>
    </row>
    <row r="5" spans="1:13" x14ac:dyDescent="0.25">
      <c r="A5" t="s">
        <v>66</v>
      </c>
      <c r="B5" s="73">
        <v>249500</v>
      </c>
      <c r="D5" t="s">
        <v>75</v>
      </c>
      <c r="E5" s="8">
        <v>214.76</v>
      </c>
      <c r="F5" s="8">
        <f>SUM(C4*B29)</f>
        <v>210.85978493212713</v>
      </c>
      <c r="I5" s="72">
        <v>286200</v>
      </c>
      <c r="K5" t="s">
        <v>75</v>
      </c>
      <c r="L5" s="8">
        <v>246.35</v>
      </c>
      <c r="M5" s="8">
        <f>SUM(J4*B29)</f>
        <v>241.87603385801518</v>
      </c>
    </row>
    <row r="6" spans="1:13" x14ac:dyDescent="0.25">
      <c r="D6" t="s">
        <v>65</v>
      </c>
      <c r="E6" s="8">
        <v>39.07</v>
      </c>
      <c r="F6" s="8">
        <f>SUM(C4*B31)</f>
        <v>38.719395711583175</v>
      </c>
      <c r="K6" t="s">
        <v>65</v>
      </c>
      <c r="L6" s="8">
        <v>44.82</v>
      </c>
      <c r="M6" s="8">
        <f>SUM(J4*B31)</f>
        <v>44.414793798216856</v>
      </c>
    </row>
    <row r="7" spans="1:13" ht="15.75" thickBot="1" x14ac:dyDescent="0.3">
      <c r="D7" s="113" t="s">
        <v>135</v>
      </c>
      <c r="E7" s="109">
        <f>SUM(E4:E6)</f>
        <v>1136.72</v>
      </c>
      <c r="F7" s="109">
        <f>SUM(F4:F6)</f>
        <v>1132.4691806437104</v>
      </c>
      <c r="K7" s="113" t="s">
        <v>137</v>
      </c>
      <c r="L7" s="110">
        <v>1303.93</v>
      </c>
      <c r="M7" s="109">
        <f>SUM(M4:M6)</f>
        <v>1299.0508276562321</v>
      </c>
    </row>
    <row r="8" spans="1:13" ht="15.75" thickTop="1" x14ac:dyDescent="0.25">
      <c r="D8" t="s">
        <v>100</v>
      </c>
      <c r="E8" s="9" t="s">
        <v>66</v>
      </c>
      <c r="F8" s="24">
        <f>SUM(F7-E7)</f>
        <v>-4.2508193562896395</v>
      </c>
      <c r="K8" t="s">
        <v>100</v>
      </c>
      <c r="L8" s="9" t="s">
        <v>66</v>
      </c>
      <c r="M8" s="69">
        <f>SUM(M7-L7)</f>
        <v>-4.8791723437680048</v>
      </c>
    </row>
    <row r="9" spans="1:13" x14ac:dyDescent="0.25">
      <c r="A9" t="s">
        <v>66</v>
      </c>
      <c r="E9" s="9"/>
      <c r="F9" s="33"/>
    </row>
    <row r="10" spans="1:13" x14ac:dyDescent="0.25">
      <c r="E10">
        <v>2021</v>
      </c>
      <c r="F10" s="7">
        <v>2022</v>
      </c>
      <c r="L10">
        <v>2021</v>
      </c>
      <c r="M10">
        <v>2022</v>
      </c>
    </row>
    <row r="11" spans="1:13" x14ac:dyDescent="0.25">
      <c r="A11" t="s">
        <v>77</v>
      </c>
      <c r="B11" t="s">
        <v>73</v>
      </c>
      <c r="C11" s="8">
        <v>2146.3000000000002</v>
      </c>
      <c r="D11" t="s">
        <v>74</v>
      </c>
      <c r="E11" s="9">
        <v>7594.98</v>
      </c>
      <c r="F11" s="66">
        <v>7594.98</v>
      </c>
      <c r="H11" t="s">
        <v>77</v>
      </c>
      <c r="I11" t="s">
        <v>73</v>
      </c>
      <c r="J11" s="8">
        <v>266.89999999999998</v>
      </c>
      <c r="K11" t="s">
        <v>74</v>
      </c>
      <c r="L11" s="9">
        <v>944.46</v>
      </c>
      <c r="M11" s="66">
        <v>944.46</v>
      </c>
    </row>
    <row r="12" spans="1:13" x14ac:dyDescent="0.25">
      <c r="B12" s="72">
        <v>2146300</v>
      </c>
      <c r="D12" t="s">
        <v>64</v>
      </c>
      <c r="E12" s="9">
        <v>4181.29</v>
      </c>
      <c r="F12" s="66">
        <f>SUM(C11*B28)</f>
        <v>4231.1605984970975</v>
      </c>
      <c r="I12" s="72">
        <v>266900</v>
      </c>
      <c r="K12" t="s">
        <v>64</v>
      </c>
      <c r="L12" s="9">
        <v>519.96</v>
      </c>
      <c r="M12" s="66">
        <f>SUM(J11*B28)</f>
        <v>526.15979301070456</v>
      </c>
    </row>
    <row r="13" spans="1:13" x14ac:dyDescent="0.25">
      <c r="D13" t="s">
        <v>76</v>
      </c>
      <c r="E13" s="38">
        <v>1030.03</v>
      </c>
      <c r="F13" s="66">
        <f>SUM(C11*B30)</f>
        <v>1051.6201354841664</v>
      </c>
      <c r="K13" t="s">
        <v>76</v>
      </c>
      <c r="L13" s="9">
        <v>128.09</v>
      </c>
      <c r="M13" s="66">
        <f>SUM(J11*B30)</f>
        <v>130.77268516084609</v>
      </c>
    </row>
    <row r="14" spans="1:13" x14ac:dyDescent="0.25">
      <c r="D14" t="s">
        <v>65</v>
      </c>
      <c r="E14" s="9">
        <v>336.12</v>
      </c>
      <c r="F14" s="66">
        <f>SUM(C11*B31)</f>
        <v>333.07991589487369</v>
      </c>
      <c r="K14" t="s">
        <v>65</v>
      </c>
      <c r="L14" s="9">
        <v>41.8</v>
      </c>
      <c r="M14" s="66">
        <f>SUM(J11*B31)</f>
        <v>41.419666194074345</v>
      </c>
    </row>
    <row r="15" spans="1:13" ht="15.75" thickBot="1" x14ac:dyDescent="0.3">
      <c r="D15" s="113" t="s">
        <v>135</v>
      </c>
      <c r="E15" s="110">
        <v>13142.43</v>
      </c>
      <c r="F15" s="109">
        <f>SUM(F11:F14)</f>
        <v>13210.840649876138</v>
      </c>
      <c r="K15" s="113" t="s">
        <v>137</v>
      </c>
      <c r="L15" s="110">
        <v>1634.31</v>
      </c>
      <c r="M15" s="109">
        <f>SUM(M11:M14)</f>
        <v>1642.812144365625</v>
      </c>
    </row>
    <row r="16" spans="1:13" ht="15.75" thickTop="1" x14ac:dyDescent="0.25">
      <c r="D16" t="s">
        <v>100</v>
      </c>
      <c r="E16" s="40" t="s">
        <v>66</v>
      </c>
      <c r="F16" s="24">
        <f>SUM(F15-E15)</f>
        <v>68.410649876137541</v>
      </c>
      <c r="K16" t="s">
        <v>100</v>
      </c>
      <c r="L16" s="40" t="s">
        <v>66</v>
      </c>
      <c r="M16" s="24">
        <f>SUM(M15-L15)</f>
        <v>8.5021443656250995</v>
      </c>
    </row>
    <row r="17" spans="1:13" x14ac:dyDescent="0.25">
      <c r="E17" s="9"/>
      <c r="F17" s="33"/>
    </row>
    <row r="18" spans="1:13" x14ac:dyDescent="0.25">
      <c r="E18" s="93">
        <v>2021</v>
      </c>
      <c r="F18" s="7">
        <v>2022</v>
      </c>
      <c r="L18">
        <v>2021</v>
      </c>
      <c r="M18">
        <v>2022</v>
      </c>
    </row>
    <row r="19" spans="1:13" x14ac:dyDescent="0.25">
      <c r="A19" t="s">
        <v>77</v>
      </c>
      <c r="B19" t="s">
        <v>73</v>
      </c>
      <c r="C19" s="8">
        <v>721.6</v>
      </c>
      <c r="D19" t="s">
        <v>74</v>
      </c>
      <c r="E19" s="9">
        <v>2553.48</v>
      </c>
      <c r="F19" s="8">
        <v>2553.48</v>
      </c>
      <c r="H19" t="s">
        <v>72</v>
      </c>
      <c r="I19" t="s">
        <v>73</v>
      </c>
      <c r="J19" s="65">
        <v>549.1</v>
      </c>
      <c r="K19" t="s">
        <v>74</v>
      </c>
      <c r="L19" s="8">
        <v>1943.07</v>
      </c>
      <c r="M19" s="8">
        <v>1943.07</v>
      </c>
    </row>
    <row r="20" spans="1:13" x14ac:dyDescent="0.25">
      <c r="B20" s="72">
        <v>721600</v>
      </c>
      <c r="D20" t="s">
        <v>64</v>
      </c>
      <c r="E20" s="9">
        <v>1405.78</v>
      </c>
      <c r="F20" s="66">
        <f>SUM(C19*B28)</f>
        <v>1422.5436741720659</v>
      </c>
      <c r="I20" s="72">
        <v>549100</v>
      </c>
      <c r="K20" t="s">
        <v>75</v>
      </c>
      <c r="L20" s="8">
        <v>472.64</v>
      </c>
      <c r="M20" s="8">
        <f>SUM(J19*B29)</f>
        <v>464.06055273038481</v>
      </c>
    </row>
    <row r="21" spans="1:13" x14ac:dyDescent="0.25">
      <c r="D21" t="s">
        <v>76</v>
      </c>
      <c r="E21" s="9">
        <v>346.3</v>
      </c>
      <c r="F21" s="66">
        <f>SUM(C19*B30)</f>
        <v>353.56151971549855</v>
      </c>
      <c r="K21" t="s">
        <v>65</v>
      </c>
      <c r="L21" s="8">
        <v>85.99</v>
      </c>
      <c r="M21" s="8">
        <f>SUM(J19*B31)</f>
        <v>85.213708157235772</v>
      </c>
    </row>
    <row r="22" spans="1:13" ht="15.75" thickBot="1" x14ac:dyDescent="0.3">
      <c r="D22" t="s">
        <v>65</v>
      </c>
      <c r="E22" s="9">
        <v>113.01</v>
      </c>
      <c r="F22" s="66">
        <f>SUM(C19*B31)</f>
        <v>111.9836310440017</v>
      </c>
      <c r="K22" s="113" t="s">
        <v>138</v>
      </c>
      <c r="L22" s="110">
        <v>2501.6999999999998</v>
      </c>
      <c r="M22" s="109">
        <f>SUM(M19:M21)</f>
        <v>2492.3442608876207</v>
      </c>
    </row>
    <row r="23" spans="1:13" ht="16.5" thickTop="1" thickBot="1" x14ac:dyDescent="0.3">
      <c r="D23" s="113" t="s">
        <v>136</v>
      </c>
      <c r="E23" s="110">
        <v>4418.57</v>
      </c>
      <c r="F23" s="111">
        <f>SUM(F19:F22)</f>
        <v>4441.5688249315663</v>
      </c>
      <c r="K23" t="s">
        <v>100</v>
      </c>
      <c r="L23" s="9" t="s">
        <v>66</v>
      </c>
      <c r="M23" s="69">
        <f>SUM(M22-L22)</f>
        <v>-9.3557391123790694</v>
      </c>
    </row>
    <row r="24" spans="1:13" ht="15.75" thickTop="1" x14ac:dyDescent="0.25">
      <c r="D24" t="s">
        <v>100</v>
      </c>
      <c r="E24" s="9" t="s">
        <v>66</v>
      </c>
      <c r="F24" s="24">
        <f>SUM(F23-E23)</f>
        <v>22.99882493156656</v>
      </c>
    </row>
    <row r="25" spans="1:13" x14ac:dyDescent="0.25">
      <c r="E25" s="9"/>
    </row>
    <row r="27" spans="1:13" ht="15.75" thickBot="1" x14ac:dyDescent="0.3">
      <c r="A27" s="112" t="s">
        <v>133</v>
      </c>
      <c r="B27" s="112">
        <v>2022</v>
      </c>
      <c r="C27" s="112">
        <v>2021</v>
      </c>
    </row>
    <row r="28" spans="1:13" ht="15.75" x14ac:dyDescent="0.25">
      <c r="A28" t="s">
        <v>91</v>
      </c>
      <c r="B28" s="71">
        <f>SUM('TAX RATE CALCULATOR'!B23)</f>
        <v>1.9713742713027522</v>
      </c>
      <c r="C28" s="70">
        <v>1.9481409083938508</v>
      </c>
    </row>
    <row r="29" spans="1:13" ht="15.75" x14ac:dyDescent="0.25">
      <c r="A29" t="s">
        <v>55</v>
      </c>
      <c r="B29" s="71">
        <f>SUM('TAX RATE CALCULATOR'!B15)</f>
        <v>0.84512939852555968</v>
      </c>
      <c r="C29" s="70">
        <v>0.86074537277634799</v>
      </c>
      <c r="I29" s="34"/>
    </row>
    <row r="30" spans="1:13" ht="15.75" x14ac:dyDescent="0.25">
      <c r="A30" t="s">
        <v>57</v>
      </c>
      <c r="B30" s="71">
        <f>SUM('TAX RATE CALCULATOR'!B28)</f>
        <v>0.4899688466123871</v>
      </c>
      <c r="C30" s="70">
        <v>0.47991183589485031</v>
      </c>
    </row>
    <row r="31" spans="1:13" ht="15.75" x14ac:dyDescent="0.25">
      <c r="A31" t="s">
        <v>56</v>
      </c>
      <c r="B31" s="71">
        <f>SUM('TAX RATE CALCULATOR'!B33)</f>
        <v>0.15518795876386043</v>
      </c>
      <c r="C31" s="70">
        <v>0.15660467447931073</v>
      </c>
    </row>
  </sheetData>
  <pageMargins left="0.7" right="0.7" top="0.75" bottom="0.75" header="0.3" footer="0.3"/>
  <pageSetup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topLeftCell="A13" workbookViewId="0">
      <selection activeCell="B21" sqref="B21"/>
    </sheetView>
  </sheetViews>
  <sheetFormatPr defaultRowHeight="15" x14ac:dyDescent="0.25"/>
  <cols>
    <col min="1" max="1" width="44.85546875" customWidth="1"/>
    <col min="2" max="2" width="25.42578125" style="72" customWidth="1"/>
    <col min="7" max="7" width="27.7109375" customWidth="1"/>
  </cols>
  <sheetData>
    <row r="1" spans="1:7" x14ac:dyDescent="0.25">
      <c r="A1" t="s">
        <v>201</v>
      </c>
      <c r="B1" s="72" t="s">
        <v>204</v>
      </c>
      <c r="G1" s="72" t="s">
        <v>145</v>
      </c>
    </row>
    <row r="2" spans="1:7" x14ac:dyDescent="0.25">
      <c r="A2" t="s">
        <v>66</v>
      </c>
      <c r="G2" s="72"/>
    </row>
    <row r="3" spans="1:7" x14ac:dyDescent="0.25">
      <c r="A3" t="s">
        <v>108</v>
      </c>
      <c r="G3" s="72"/>
    </row>
    <row r="4" spans="1:7" x14ac:dyDescent="0.25">
      <c r="A4" t="s">
        <v>109</v>
      </c>
      <c r="B4" s="72">
        <v>216830294</v>
      </c>
      <c r="G4" s="72">
        <v>214726908</v>
      </c>
    </row>
    <row r="5" spans="1:7" x14ac:dyDescent="0.25">
      <c r="A5" t="s">
        <v>110</v>
      </c>
      <c r="B5" s="72">
        <v>1185659096</v>
      </c>
      <c r="G5" s="72">
        <v>1174933155</v>
      </c>
    </row>
    <row r="6" spans="1:7" x14ac:dyDescent="0.25">
      <c r="B6" s="114">
        <f>SUM(B4/B5)</f>
        <v>0.18287743477995466</v>
      </c>
      <c r="C6" s="103">
        <f>SUM(B6)</f>
        <v>0.18287743477995466</v>
      </c>
      <c r="G6" s="114">
        <f>SUM(G4/G5)</f>
        <v>0.18275670159295146</v>
      </c>
    </row>
    <row r="7" spans="1:7" x14ac:dyDescent="0.25">
      <c r="A7" t="s">
        <v>111</v>
      </c>
      <c r="G7" s="72"/>
    </row>
    <row r="8" spans="1:7" x14ac:dyDescent="0.25">
      <c r="A8" t="s">
        <v>112</v>
      </c>
      <c r="B8" s="118">
        <v>1186034</v>
      </c>
      <c r="G8" s="72">
        <v>1195314</v>
      </c>
    </row>
    <row r="9" spans="1:7" x14ac:dyDescent="0.25">
      <c r="A9" t="s">
        <v>113</v>
      </c>
      <c r="B9" s="72">
        <v>184000</v>
      </c>
      <c r="G9" s="72">
        <v>184000</v>
      </c>
    </row>
    <row r="10" spans="1:7" x14ac:dyDescent="0.25">
      <c r="A10" s="74" t="s">
        <v>114</v>
      </c>
      <c r="B10" s="115">
        <f>SUM(B8-B9)</f>
        <v>1002034</v>
      </c>
      <c r="G10" s="115">
        <f>SUM(G8-G9)</f>
        <v>1011314</v>
      </c>
    </row>
    <row r="11" spans="1:7" x14ac:dyDescent="0.25">
      <c r="A11" t="s">
        <v>115</v>
      </c>
      <c r="B11" s="72">
        <v>0</v>
      </c>
      <c r="G11" s="72">
        <v>0</v>
      </c>
    </row>
    <row r="12" spans="1:7" x14ac:dyDescent="0.25">
      <c r="A12" s="74" t="s">
        <v>114</v>
      </c>
      <c r="B12" s="115">
        <f>SUM(B10+B11)</f>
        <v>1002034</v>
      </c>
      <c r="G12" s="115">
        <f>SUM(G10+G11)</f>
        <v>1011314</v>
      </c>
    </row>
    <row r="13" spans="1:7" x14ac:dyDescent="0.25">
      <c r="A13" s="74" t="s">
        <v>116</v>
      </c>
      <c r="B13" s="75">
        <f>SUM(B12*C6)</f>
        <v>183249.4074822971</v>
      </c>
      <c r="G13" s="75">
        <f>SUM(G12*G6)</f>
        <v>184824.41091477411</v>
      </c>
    </row>
    <row r="14" spans="1:7" x14ac:dyDescent="0.25">
      <c r="A14" t="s">
        <v>117</v>
      </c>
      <c r="B14" s="72">
        <v>216830</v>
      </c>
      <c r="G14" s="72">
        <v>214726</v>
      </c>
    </row>
    <row r="15" spans="1:7" x14ac:dyDescent="0.25">
      <c r="A15" s="74" t="s">
        <v>118</v>
      </c>
      <c r="B15" s="116">
        <f>SUM(B13/B14)</f>
        <v>0.84512939852555968</v>
      </c>
      <c r="G15" s="116">
        <f>SUM(G13/G14)</f>
        <v>0.86074537277634799</v>
      </c>
    </row>
    <row r="16" spans="1:7" x14ac:dyDescent="0.25">
      <c r="G16" s="72"/>
    </row>
    <row r="17" spans="1:7" x14ac:dyDescent="0.25">
      <c r="A17" t="s">
        <v>119</v>
      </c>
      <c r="G17" s="72"/>
    </row>
    <row r="18" spans="1:7" x14ac:dyDescent="0.25">
      <c r="A18" s="74" t="s">
        <v>132</v>
      </c>
      <c r="B18" s="75">
        <f>SUM(B12-B13)</f>
        <v>818784.59251770284</v>
      </c>
      <c r="G18" s="75">
        <f>SUM(G12-G13)</f>
        <v>826489.58908522595</v>
      </c>
    </row>
    <row r="19" spans="1:7" x14ac:dyDescent="0.25">
      <c r="A19" t="s">
        <v>120</v>
      </c>
      <c r="B19" s="118">
        <v>10347</v>
      </c>
      <c r="G19" s="72">
        <v>30252</v>
      </c>
    </row>
    <row r="20" spans="1:7" x14ac:dyDescent="0.25">
      <c r="A20" t="s">
        <v>121</v>
      </c>
      <c r="B20" s="118">
        <v>1080791</v>
      </c>
      <c r="G20" s="72">
        <v>1013875</v>
      </c>
    </row>
    <row r="21" spans="1:7" x14ac:dyDescent="0.25">
      <c r="A21" s="74" t="s">
        <v>114</v>
      </c>
      <c r="B21" s="115">
        <f>SUM(B18:B20)</f>
        <v>1909922.5925177028</v>
      </c>
      <c r="G21" s="115">
        <f>SUM(G18:G20)</f>
        <v>1870616.5890852259</v>
      </c>
    </row>
    <row r="22" spans="1:7" x14ac:dyDescent="0.25">
      <c r="A22" t="s">
        <v>122</v>
      </c>
      <c r="B22" s="72">
        <v>968828</v>
      </c>
      <c r="G22" s="72">
        <v>960206</v>
      </c>
    </row>
    <row r="23" spans="1:7" x14ac:dyDescent="0.25">
      <c r="A23" s="74" t="s">
        <v>123</v>
      </c>
      <c r="B23" s="117">
        <f>SUM(B21/B22)</f>
        <v>1.9713742713027522</v>
      </c>
      <c r="G23" s="117">
        <f>SUM(G21/G22)</f>
        <v>1.9481409083938508</v>
      </c>
    </row>
    <row r="24" spans="1:7" x14ac:dyDescent="0.25">
      <c r="G24" s="72"/>
    </row>
    <row r="25" spans="1:7" x14ac:dyDescent="0.25">
      <c r="A25" t="s">
        <v>124</v>
      </c>
      <c r="G25" s="72"/>
    </row>
    <row r="26" spans="1:7" x14ac:dyDescent="0.25">
      <c r="A26" t="s">
        <v>125</v>
      </c>
      <c r="B26" s="118">
        <v>577833</v>
      </c>
      <c r="G26" s="72">
        <v>563500</v>
      </c>
    </row>
    <row r="27" spans="1:7" x14ac:dyDescent="0.25">
      <c r="A27" t="s">
        <v>126</v>
      </c>
      <c r="B27" s="72">
        <v>1179326</v>
      </c>
      <c r="G27" s="72">
        <v>1174174</v>
      </c>
    </row>
    <row r="28" spans="1:7" x14ac:dyDescent="0.25">
      <c r="A28" s="74" t="s">
        <v>127</v>
      </c>
      <c r="B28" s="117">
        <f>SUM(B26/B27)</f>
        <v>0.4899688466123871</v>
      </c>
      <c r="G28" s="117">
        <f>SUM(G26/G27)</f>
        <v>0.47991183589485031</v>
      </c>
    </row>
    <row r="29" spans="1:7" x14ac:dyDescent="0.25">
      <c r="G29" s="72"/>
    </row>
    <row r="30" spans="1:7" x14ac:dyDescent="0.25">
      <c r="A30" t="s">
        <v>128</v>
      </c>
      <c r="B30" s="78"/>
      <c r="G30" s="78"/>
    </row>
    <row r="31" spans="1:7" x14ac:dyDescent="0.25">
      <c r="A31" t="s">
        <v>129</v>
      </c>
      <c r="B31" s="72">
        <v>184000</v>
      </c>
      <c r="G31" s="72">
        <v>184000</v>
      </c>
    </row>
    <row r="32" spans="1:7" x14ac:dyDescent="0.25">
      <c r="A32" t="s">
        <v>130</v>
      </c>
      <c r="B32" s="72">
        <v>1185659</v>
      </c>
      <c r="G32" s="72">
        <v>1174933</v>
      </c>
    </row>
    <row r="33" spans="1:7" x14ac:dyDescent="0.25">
      <c r="A33" s="74" t="s">
        <v>131</v>
      </c>
      <c r="B33" s="117">
        <f>+SUM(B31/B32)</f>
        <v>0.15518795876386043</v>
      </c>
      <c r="G33" s="117">
        <f>+SUM(G31/G32)</f>
        <v>0.15660467447931073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Salary Increase calc</vt:lpstr>
      <vt:lpstr>FINAL SALARIES</vt:lpstr>
      <vt:lpstr>INDEBTEDNESS</vt:lpstr>
      <vt:lpstr>TENTATIVE SUMMARY BUDGET</vt:lpstr>
      <vt:lpstr>FINAL BUDGET COVER SHEET</vt:lpstr>
      <vt:lpstr>TAX RATES</vt:lpstr>
      <vt:lpstr>TAX RATE EXAMPLES</vt:lpstr>
      <vt:lpstr>TAX RATE CALCULATOR</vt:lpstr>
      <vt:lpstr>'FINAL BUDGET COVER SHEET'!Print_Area</vt:lpstr>
      <vt:lpstr>'FINAL SALARIES'!Print_Area</vt:lpstr>
      <vt:lpstr>'Salary Increase calc'!Print_Area</vt:lpstr>
      <vt:lpstr>'TAX RATE CALCULATOR'!Print_Area</vt:lpstr>
      <vt:lpstr>'TENTATIVE SUMMARY BUDGET'!Print_Area</vt:lpstr>
      <vt:lpstr>'Salary Increase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Lopergalo</dc:creator>
  <cp:lastModifiedBy>Lois Petrone</cp:lastModifiedBy>
  <cp:lastPrinted>2021-10-25T15:10:01Z</cp:lastPrinted>
  <dcterms:created xsi:type="dcterms:W3CDTF">2016-10-11T16:09:27Z</dcterms:created>
  <dcterms:modified xsi:type="dcterms:W3CDTF">2021-11-01T15:12:02Z</dcterms:modified>
</cp:coreProperties>
</file>